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CAMARA MUNICIPAL JP\MEDIÇÕES\BM 21\"/>
    </mc:Choice>
  </mc:AlternateContent>
  <xr:revisionPtr revIDLastSave="0" documentId="13_ncr:1_{066F6B5F-D8A5-4753-84D2-0604BF1EF064}" xr6:coauthVersionLast="47" xr6:coauthVersionMax="47" xr10:uidLastSave="{00000000-0000-0000-0000-000000000000}"/>
  <bookViews>
    <workbookView xWindow="-120" yWindow="-120" windowWidth="20730" windowHeight="11040" firstSheet="3" activeTab="15" xr2:uid="{09CB3EF6-4D0F-4C31-A21B-A70EC7293F6F}"/>
  </bookViews>
  <sheets>
    <sheet name="Planilha" sheetId="1" r:id="rId1"/>
    <sheet name="RESUMO MEM." sheetId="19" r:id="rId2"/>
    <sheet name="4.0" sheetId="54" r:id="rId3"/>
    <sheet name="6.0" sheetId="56" r:id="rId4"/>
    <sheet name="7.0" sheetId="59" r:id="rId5"/>
    <sheet name="8.0" sheetId="60" r:id="rId6"/>
    <sheet name="9.0" sheetId="36" r:id="rId7"/>
    <sheet name="10.0" sheetId="46" r:id="rId8"/>
    <sheet name="11.0" sheetId="61" r:id="rId9"/>
    <sheet name="12.0" sheetId="45" r:id="rId10"/>
    <sheet name="13.0" sheetId="62" r:id="rId11"/>
    <sheet name="15.0" sheetId="57" r:id="rId12"/>
    <sheet name="16.0" sheetId="50" r:id="rId13"/>
    <sheet name="17.0" sheetId="52" r:id="rId14"/>
    <sheet name="18.0" sheetId="53" r:id="rId15"/>
    <sheet name="20.0" sheetId="58" r:id="rId16"/>
    <sheet name="23.0" sheetId="44" r:id="rId17"/>
  </sheets>
  <externalReferences>
    <externalReference r:id="rId18"/>
    <externalReference r:id="rId19"/>
    <externalReference r:id="rId20"/>
  </externalReferences>
  <definedNames>
    <definedName name="_xlnm.Print_Area" localSheetId="7">'10.0'!$A$1:$E$234</definedName>
    <definedName name="_xlnm.Print_Area" localSheetId="8">'11.0'!$A$1:$E$76</definedName>
    <definedName name="_xlnm.Print_Area" localSheetId="9">'12.0'!$A$1:$E$232</definedName>
    <definedName name="_xlnm.Print_Area" localSheetId="13">'17.0'!$A$1:$E$47</definedName>
    <definedName name="_xlnm.Print_Area" localSheetId="14">'18.0'!$A$1:$E$151</definedName>
    <definedName name="_xlnm.Print_Area" localSheetId="15">'20.0'!$A$1:$E$23</definedName>
    <definedName name="_xlnm.Print_Area" localSheetId="2">'4.0'!$A$2:$E$145</definedName>
    <definedName name="_xlnm.Print_Area" localSheetId="3">'6.0'!$A$1:$F$66</definedName>
    <definedName name="_xlnm.Print_Area" localSheetId="4">'7.0'!$A$1:$E$119</definedName>
    <definedName name="_xlnm.Print_Area" localSheetId="5">'8.0'!$A$1:$E$65</definedName>
    <definedName name="_xlnm.Print_Area" localSheetId="6">'9.0'!$A$1:$E$241</definedName>
    <definedName name="_xlnm.Print_Area" localSheetId="0">Planilha!$A$1:$M$436</definedName>
    <definedName name="_xlnm.Print_Area" localSheetId="1">'RESUMO MEM.'!$A$1:$E$652</definedName>
    <definedName name="_xlnm.Print_Titles" localSheetId="0">Planilha!$1:$12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35" i="1" l="1"/>
  <c r="M47" i="1"/>
  <c r="K39" i="1"/>
  <c r="K40" i="1"/>
  <c r="E462" i="19"/>
  <c r="E456" i="19"/>
  <c r="E465" i="19"/>
  <c r="E459" i="19"/>
  <c r="D39" i="53"/>
  <c r="D38" i="53"/>
  <c r="D37" i="53"/>
  <c r="D36" i="53"/>
  <c r="D35" i="53"/>
  <c r="D34" i="53"/>
  <c r="D33" i="53"/>
  <c r="D32" i="53"/>
  <c r="D40" i="53" s="1"/>
  <c r="D42" i="53" s="1"/>
  <c r="D24" i="53"/>
  <c r="D23" i="53"/>
  <c r="D22" i="53"/>
  <c r="D21" i="53"/>
  <c r="D20" i="53"/>
  <c r="D19" i="53"/>
  <c r="D18" i="53"/>
  <c r="D17" i="53"/>
  <c r="D25" i="53" s="1"/>
  <c r="D28" i="53" s="1"/>
  <c r="E609" i="19" l="1"/>
  <c r="E603" i="19"/>
  <c r="D144" i="53"/>
  <c r="D146" i="53" s="1"/>
  <c r="E432" i="19"/>
  <c r="E24" i="52"/>
  <c r="E25" i="52" s="1"/>
  <c r="E27" i="52" s="1"/>
  <c r="E164" i="45"/>
  <c r="E159" i="45"/>
  <c r="E147" i="45"/>
  <c r="E135" i="45"/>
  <c r="E123" i="45"/>
  <c r="D151" i="45"/>
  <c r="E151" i="45" s="1"/>
  <c r="D150" i="45"/>
  <c r="E150" i="45" s="1"/>
  <c r="D149" i="45"/>
  <c r="E149" i="45" s="1"/>
  <c r="E17" i="45"/>
  <c r="E20" i="45" s="1"/>
  <c r="E397" i="19"/>
  <c r="E396" i="19"/>
  <c r="E395" i="19"/>
  <c r="E398" i="19" s="1"/>
  <c r="E20" i="62"/>
  <c r="E54" i="61"/>
  <c r="E56" i="61" s="1"/>
  <c r="E59" i="61" s="1"/>
  <c r="E63" i="61"/>
  <c r="E69" i="61"/>
  <c r="D68" i="61"/>
  <c r="D67" i="61"/>
  <c r="E67" i="61" s="1"/>
  <c r="D66" i="61"/>
  <c r="E66" i="61" s="1"/>
  <c r="D65" i="61"/>
  <c r="E65" i="61" s="1"/>
  <c r="D64" i="61"/>
  <c r="E64" i="61" s="1"/>
  <c r="E71" i="61"/>
  <c r="E70" i="61"/>
  <c r="E68" i="61"/>
  <c r="D46" i="61"/>
  <c r="E46" i="61" s="1"/>
  <c r="D45" i="61"/>
  <c r="E45" i="61" s="1"/>
  <c r="D44" i="61"/>
  <c r="E44" i="61" s="1"/>
  <c r="D43" i="61"/>
  <c r="E43" i="61" s="1"/>
  <c r="D42" i="61"/>
  <c r="E42" i="61" s="1"/>
  <c r="D41" i="61"/>
  <c r="E41" i="61" s="1"/>
  <c r="D40" i="61"/>
  <c r="E40" i="61" s="1"/>
  <c r="D39" i="61"/>
  <c r="E39" i="61" s="1"/>
  <c r="D38" i="61"/>
  <c r="E38" i="61" s="1"/>
  <c r="D37" i="61"/>
  <c r="E37" i="61" s="1"/>
  <c r="D36" i="61"/>
  <c r="E36" i="61" s="1"/>
  <c r="D35" i="61"/>
  <c r="E35" i="61" s="1"/>
  <c r="D34" i="61"/>
  <c r="E34" i="61" s="1"/>
  <c r="D33" i="61"/>
  <c r="E33" i="61" s="1"/>
  <c r="D32" i="61"/>
  <c r="E32" i="61" s="1"/>
  <c r="D31" i="61"/>
  <c r="E31" i="61" s="1"/>
  <c r="D30" i="61"/>
  <c r="E30" i="61" s="1"/>
  <c r="D29" i="61"/>
  <c r="E29" i="61" s="1"/>
  <c r="E28" i="61"/>
  <c r="E27" i="61"/>
  <c r="D26" i="61"/>
  <c r="E26" i="61" s="1"/>
  <c r="D25" i="61"/>
  <c r="E25" i="61" s="1"/>
  <c r="D24" i="61"/>
  <c r="E24" i="61" s="1"/>
  <c r="E16" i="61"/>
  <c r="E15" i="61"/>
  <c r="D181" i="46"/>
  <c r="E225" i="19"/>
  <c r="E228" i="19" s="1"/>
  <c r="E63" i="60"/>
  <c r="E60" i="60"/>
  <c r="E52" i="60"/>
  <c r="E51" i="60"/>
  <c r="E54" i="60" s="1"/>
  <c r="E44" i="60"/>
  <c r="E43" i="60"/>
  <c r="E46" i="60" s="1"/>
  <c r="E36" i="60"/>
  <c r="E35" i="60"/>
  <c r="E38" i="60" s="1"/>
  <c r="E28" i="60"/>
  <c r="E27" i="60"/>
  <c r="E30" i="60" s="1"/>
  <c r="E20" i="60"/>
  <c r="E19" i="60"/>
  <c r="E22" i="60" s="1"/>
  <c r="E217" i="19"/>
  <c r="E220" i="19" s="1"/>
  <c r="E211" i="19"/>
  <c r="E214" i="19" s="1"/>
  <c r="E118" i="59"/>
  <c r="E110" i="59"/>
  <c r="E115" i="59"/>
  <c r="E107" i="59"/>
  <c r="E101" i="59"/>
  <c r="E97" i="59"/>
  <c r="E95" i="59"/>
  <c r="E94" i="59"/>
  <c r="E91" i="59"/>
  <c r="E98" i="59" s="1"/>
  <c r="E102" i="59" s="1"/>
  <c r="E86" i="59"/>
  <c r="E80" i="59"/>
  <c r="E72" i="59"/>
  <c r="E83" i="59" s="1"/>
  <c r="E87" i="59" s="1"/>
  <c r="E68" i="59"/>
  <c r="E63" i="59"/>
  <c r="E59" i="59"/>
  <c r="E60" i="59" s="1"/>
  <c r="E51" i="59"/>
  <c r="E47" i="59"/>
  <c r="E46" i="59"/>
  <c r="E45" i="59"/>
  <c r="E44" i="59"/>
  <c r="E43" i="59"/>
  <c r="E42" i="59"/>
  <c r="E41" i="59"/>
  <c r="E40" i="59"/>
  <c r="E38" i="59"/>
  <c r="E36" i="59"/>
  <c r="E28" i="59"/>
  <c r="E48" i="59" s="1"/>
  <c r="E52" i="59" s="1"/>
  <c r="E19" i="59"/>
  <c r="D149" i="53" l="1"/>
  <c r="E571" i="19"/>
  <c r="E574" i="19" s="1"/>
  <c r="E327" i="19"/>
  <c r="E330" i="19" s="1"/>
  <c r="E72" i="61"/>
  <c r="E333" i="19" s="1"/>
  <c r="E17" i="61"/>
  <c r="E75" i="61"/>
  <c r="E47" i="61"/>
  <c r="E50" i="61" s="1"/>
  <c r="E20" i="61" l="1"/>
  <c r="E321" i="19"/>
  <c r="E58" i="19" l="1"/>
  <c r="E61" i="19" s="1"/>
  <c r="E95" i="54"/>
  <c r="E98" i="54" s="1"/>
  <c r="E18" i="58"/>
  <c r="E21" i="58" s="1"/>
  <c r="E596" i="19" l="1"/>
  <c r="E589" i="19"/>
  <c r="E578" i="19"/>
  <c r="E582" i="19" s="1"/>
  <c r="D135" i="53"/>
  <c r="D137" i="53" s="1"/>
  <c r="D140" i="53" s="1"/>
  <c r="E402" i="19"/>
  <c r="E405" i="19" s="1"/>
  <c r="E20" i="57"/>
  <c r="E18" i="57"/>
  <c r="E226" i="45" l="1"/>
  <c r="E228" i="45" s="1"/>
  <c r="E231" i="45" s="1"/>
  <c r="E217" i="45"/>
  <c r="E219" i="45" s="1"/>
  <c r="E222" i="45" s="1"/>
  <c r="E208" i="45"/>
  <c r="E210" i="45" s="1"/>
  <c r="E213" i="45" s="1"/>
  <c r="E173" i="45"/>
  <c r="E253" i="19"/>
  <c r="E256" i="19" s="1"/>
  <c r="E182" i="36"/>
  <c r="E177" i="36"/>
  <c r="E204" i="19"/>
  <c r="E207" i="19" s="1"/>
  <c r="E138" i="19"/>
  <c r="E141" i="19" s="1"/>
  <c r="F59" i="56"/>
  <c r="F61" i="56" s="1"/>
  <c r="F64" i="56" s="1"/>
  <c r="F24" i="56"/>
  <c r="F26" i="56" s="1"/>
  <c r="F29" i="56" s="1"/>
  <c r="E388" i="19" l="1"/>
  <c r="E391" i="19" s="1"/>
  <c r="E376" i="19"/>
  <c r="E379" i="19" s="1"/>
  <c r="E382" i="19"/>
  <c r="E385" i="19" s="1"/>
  <c r="E179" i="36"/>
  <c r="D115" i="45" l="1"/>
  <c r="E114" i="45"/>
  <c r="E113" i="45"/>
  <c r="E109" i="45"/>
  <c r="E112" i="45"/>
  <c r="E111" i="45"/>
  <c r="D56" i="53"/>
  <c r="D58" i="53" s="1"/>
  <c r="E475" i="19" s="1"/>
  <c r="E448" i="19"/>
  <c r="E451" i="19" s="1"/>
  <c r="E46" i="52"/>
  <c r="E442" i="19"/>
  <c r="E436" i="19"/>
  <c r="E439" i="19" s="1"/>
  <c r="E34" i="52"/>
  <c r="E415" i="19"/>
  <c r="E418" i="19" s="1"/>
  <c r="E26" i="50"/>
  <c r="E39" i="50"/>
  <c r="E34" i="50"/>
  <c r="E33" i="50"/>
  <c r="E32" i="50"/>
  <c r="E31" i="50"/>
  <c r="E30" i="50"/>
  <c r="E17" i="50"/>
  <c r="E18" i="50"/>
  <c r="E19" i="50"/>
  <c r="E20" i="50"/>
  <c r="E21" i="50"/>
  <c r="E16" i="50"/>
  <c r="E70" i="45"/>
  <c r="D66" i="45"/>
  <c r="E67" i="45"/>
  <c r="E68" i="45"/>
  <c r="E69" i="45"/>
  <c r="E66" i="45"/>
  <c r="D65" i="45"/>
  <c r="E65" i="45" s="1"/>
  <c r="E64" i="45"/>
  <c r="E58" i="45"/>
  <c r="D56" i="45"/>
  <c r="E78" i="45"/>
  <c r="E77" i="45"/>
  <c r="E76" i="45"/>
  <c r="D104" i="45"/>
  <c r="E104" i="45" s="1"/>
  <c r="E103" i="45"/>
  <c r="E101" i="45"/>
  <c r="D102" i="45"/>
  <c r="E102" i="45" s="1"/>
  <c r="E100" i="45"/>
  <c r="D99" i="45"/>
  <c r="E99" i="45" s="1"/>
  <c r="D98" i="45"/>
  <c r="E98" i="45" s="1"/>
  <c r="E88" i="45"/>
  <c r="E90" i="45"/>
  <c r="E89" i="45"/>
  <c r="E87" i="45"/>
  <c r="E82" i="45"/>
  <c r="E81" i="45"/>
  <c r="E228" i="46"/>
  <c r="E227" i="46"/>
  <c r="E226" i="46"/>
  <c r="E217" i="46"/>
  <c r="E216" i="46"/>
  <c r="E215" i="46"/>
  <c r="E206" i="46"/>
  <c r="E204" i="46"/>
  <c r="E205" i="46"/>
  <c r="E195" i="46"/>
  <c r="E194" i="46"/>
  <c r="E193" i="46"/>
  <c r="D169" i="46"/>
  <c r="E263" i="19"/>
  <c r="E228" i="36"/>
  <c r="D224" i="36"/>
  <c r="E224" i="36" s="1"/>
  <c r="D223" i="36"/>
  <c r="E223" i="36" s="1"/>
  <c r="D222" i="36"/>
  <c r="E222" i="36" s="1"/>
  <c r="E221" i="36"/>
  <c r="D220" i="36"/>
  <c r="E220" i="36" s="1"/>
  <c r="D219" i="36"/>
  <c r="E219" i="36" s="1"/>
  <c r="D218" i="36"/>
  <c r="E218" i="36" s="1"/>
  <c r="D217" i="36"/>
  <c r="E217" i="36" s="1"/>
  <c r="D216" i="36"/>
  <c r="E216" i="36" s="1"/>
  <c r="D215" i="36"/>
  <c r="E215" i="36" s="1"/>
  <c r="D214" i="36"/>
  <c r="E214" i="36" s="1"/>
  <c r="D213" i="36"/>
  <c r="E213" i="36" s="1"/>
  <c r="D212" i="36"/>
  <c r="E212" i="36" s="1"/>
  <c r="D211" i="36"/>
  <c r="E211" i="36" s="1"/>
  <c r="D210" i="36"/>
  <c r="E210" i="36" s="1"/>
  <c r="E205" i="36"/>
  <c r="E198" i="36"/>
  <c r="D201" i="36"/>
  <c r="E201" i="36" s="1"/>
  <c r="D200" i="36"/>
  <c r="E200" i="36" s="1"/>
  <c r="D199" i="36"/>
  <c r="E199" i="36" s="1"/>
  <c r="D197" i="36"/>
  <c r="E197" i="36" s="1"/>
  <c r="D196" i="36"/>
  <c r="E196" i="36" s="1"/>
  <c r="D195" i="36"/>
  <c r="E195" i="36" s="1"/>
  <c r="D194" i="36"/>
  <c r="E194" i="36" s="1"/>
  <c r="D193" i="36"/>
  <c r="E193" i="36" s="1"/>
  <c r="D192" i="36"/>
  <c r="E192" i="36" s="1"/>
  <c r="D191" i="36"/>
  <c r="E191" i="36" s="1"/>
  <c r="D190" i="36"/>
  <c r="E190" i="36" s="1"/>
  <c r="D189" i="36"/>
  <c r="E189" i="36" s="1"/>
  <c r="D188" i="36"/>
  <c r="E188" i="36" s="1"/>
  <c r="D187" i="36"/>
  <c r="E187" i="36" s="1"/>
  <c r="E202" i="36" l="1"/>
  <c r="E260" i="19" s="1"/>
  <c r="E264" i="19" s="1"/>
  <c r="E225" i="36"/>
  <c r="E36" i="50"/>
  <c r="E23" i="50"/>
  <c r="E230" i="46"/>
  <c r="E208" i="46"/>
  <c r="E219" i="46"/>
  <c r="E196" i="46"/>
  <c r="E206" i="36"/>
  <c r="E233" i="46" l="1"/>
  <c r="E314" i="19"/>
  <c r="E317" i="19" s="1"/>
  <c r="E267" i="19"/>
  <c r="E271" i="19" s="1"/>
  <c r="E229" i="36"/>
  <c r="E222" i="46"/>
  <c r="E308" i="19"/>
  <c r="E311" i="19" s="1"/>
  <c r="E211" i="46"/>
  <c r="E302" i="19"/>
  <c r="E305" i="19" s="1"/>
  <c r="E199" i="46"/>
  <c r="E295" i="19"/>
  <c r="E298" i="19" s="1"/>
  <c r="E147" i="19" l="1"/>
  <c r="F15" i="56"/>
  <c r="F54" i="56"/>
  <c r="D50" i="56"/>
  <c r="C50" i="56"/>
  <c r="F49" i="56"/>
  <c r="D48" i="56"/>
  <c r="F48" i="56" s="1"/>
  <c r="C47" i="56"/>
  <c r="F47" i="56" s="1"/>
  <c r="C46" i="56"/>
  <c r="F46" i="56" s="1"/>
  <c r="C45" i="56"/>
  <c r="F45" i="56" s="1"/>
  <c r="C44" i="56"/>
  <c r="F44" i="56" s="1"/>
  <c r="F43" i="56"/>
  <c r="F42" i="56"/>
  <c r="C41" i="56"/>
  <c r="F41" i="56" s="1"/>
  <c r="F40" i="56"/>
  <c r="F39" i="56"/>
  <c r="F38" i="56"/>
  <c r="F37" i="56"/>
  <c r="F36" i="56"/>
  <c r="C35" i="56"/>
  <c r="F35" i="56" s="1"/>
  <c r="C34" i="56"/>
  <c r="F34" i="56" s="1"/>
  <c r="C33" i="56"/>
  <c r="F33" i="56" s="1"/>
  <c r="E80" i="19"/>
  <c r="E81" i="19" s="1"/>
  <c r="E84" i="19"/>
  <c r="E88" i="19" s="1"/>
  <c r="E87" i="19"/>
  <c r="E91" i="19"/>
  <c r="E94" i="19" s="1"/>
  <c r="E97" i="19"/>
  <c r="E101" i="19" s="1"/>
  <c r="E100" i="19"/>
  <c r="E104" i="19"/>
  <c r="E108" i="19" s="1"/>
  <c r="E107" i="19"/>
  <c r="E111" i="19"/>
  <c r="E115" i="19" s="1"/>
  <c r="E113" i="19"/>
  <c r="E114" i="19" s="1"/>
  <c r="E118" i="19"/>
  <c r="E122" i="19" s="1"/>
  <c r="E121" i="19"/>
  <c r="E125" i="19"/>
  <c r="E127" i="19"/>
  <c r="E36" i="54"/>
  <c r="E34" i="19"/>
  <c r="E23" i="54"/>
  <c r="E27" i="19"/>
  <c r="E139" i="54"/>
  <c r="E137" i="54"/>
  <c r="E141" i="54" s="1"/>
  <c r="E144" i="54" s="1"/>
  <c r="E124" i="54"/>
  <c r="C123" i="54"/>
  <c r="E123" i="54" s="1"/>
  <c r="E122" i="54"/>
  <c r="C122" i="54"/>
  <c r="C121" i="54"/>
  <c r="E121" i="54" s="1"/>
  <c r="C120" i="54"/>
  <c r="E120" i="54" s="1"/>
  <c r="C119" i="54"/>
  <c r="E119" i="54" s="1"/>
  <c r="C118" i="54"/>
  <c r="E118" i="54" s="1"/>
  <c r="C117" i="54"/>
  <c r="E117" i="54" s="1"/>
  <c r="C116" i="54"/>
  <c r="E116" i="54" s="1"/>
  <c r="C115" i="54"/>
  <c r="E115" i="54" s="1"/>
  <c r="C114" i="54"/>
  <c r="E114" i="54" s="1"/>
  <c r="C113" i="54"/>
  <c r="E113" i="54" s="1"/>
  <c r="E112" i="54"/>
  <c r="C112" i="54"/>
  <c r="C111" i="54"/>
  <c r="E111" i="54" s="1"/>
  <c r="C110" i="54"/>
  <c r="E110" i="54" s="1"/>
  <c r="C109" i="54"/>
  <c r="E109" i="54" s="1"/>
  <c r="C108" i="54"/>
  <c r="E108" i="54" s="1"/>
  <c r="C107" i="54"/>
  <c r="E107" i="54" s="1"/>
  <c r="C106" i="54"/>
  <c r="E106" i="54" s="1"/>
  <c r="E105" i="54"/>
  <c r="C104" i="54"/>
  <c r="E104" i="54" s="1"/>
  <c r="C103" i="54"/>
  <c r="E103" i="54" s="1"/>
  <c r="C102" i="54"/>
  <c r="E102" i="54" s="1"/>
  <c r="B84" i="54"/>
  <c r="E84" i="54" s="1"/>
  <c r="E83" i="54"/>
  <c r="C82" i="54"/>
  <c r="E82" i="54" s="1"/>
  <c r="B82" i="54"/>
  <c r="C81" i="54"/>
  <c r="B81" i="54"/>
  <c r="C80" i="54"/>
  <c r="B80" i="54"/>
  <c r="C79" i="54"/>
  <c r="E79" i="54" s="1"/>
  <c r="C78" i="54"/>
  <c r="B78" i="54"/>
  <c r="C77" i="54"/>
  <c r="E77" i="54" s="1"/>
  <c r="C76" i="54"/>
  <c r="E76" i="54" s="1"/>
  <c r="C75" i="54"/>
  <c r="B75" i="54"/>
  <c r="E75" i="54" s="1"/>
  <c r="C74" i="54"/>
  <c r="B74" i="54"/>
  <c r="E74" i="54" s="1"/>
  <c r="C73" i="54"/>
  <c r="B73" i="54"/>
  <c r="C72" i="54"/>
  <c r="B72" i="54"/>
  <c r="E72" i="54" s="1"/>
  <c r="E62" i="54"/>
  <c r="E61" i="54"/>
  <c r="E60" i="54"/>
  <c r="E51" i="54"/>
  <c r="C51" i="54"/>
  <c r="C50" i="54"/>
  <c r="E50" i="54" s="1"/>
  <c r="C49" i="54"/>
  <c r="E49" i="54" s="1"/>
  <c r="C48" i="54"/>
  <c r="E48" i="54" s="1"/>
  <c r="C47" i="54"/>
  <c r="E47" i="54" s="1"/>
  <c r="C46" i="54"/>
  <c r="E46" i="54" s="1"/>
  <c r="C45" i="54"/>
  <c r="E45" i="54" s="1"/>
  <c r="C44" i="54"/>
  <c r="E44" i="54" s="1"/>
  <c r="C43" i="54"/>
  <c r="E43" i="54" s="1"/>
  <c r="C42" i="54"/>
  <c r="E42" i="54" s="1"/>
  <c r="C41" i="54"/>
  <c r="E41" i="54" s="1"/>
  <c r="B32" i="54"/>
  <c r="E32" i="54" s="1"/>
  <c r="B31" i="54"/>
  <c r="E31" i="54" s="1"/>
  <c r="E30" i="54"/>
  <c r="E29" i="54"/>
  <c r="B28" i="54"/>
  <c r="E28" i="54" s="1"/>
  <c r="B27" i="54"/>
  <c r="E27" i="54" s="1"/>
  <c r="E19" i="54"/>
  <c r="E17" i="54"/>
  <c r="E22" i="44"/>
  <c r="E19" i="44"/>
  <c r="D125" i="53"/>
  <c r="D115" i="53"/>
  <c r="D114" i="53"/>
  <c r="D113" i="53"/>
  <c r="D112" i="53"/>
  <c r="D104" i="53"/>
  <c r="D103" i="53"/>
  <c r="D102" i="53"/>
  <c r="D101" i="53"/>
  <c r="D92" i="53"/>
  <c r="D91" i="53"/>
  <c r="D90" i="53"/>
  <c r="D89" i="53"/>
  <c r="D81" i="53"/>
  <c r="D80" i="53"/>
  <c r="D79" i="53"/>
  <c r="D78" i="53"/>
  <c r="D69" i="53"/>
  <c r="D68" i="53"/>
  <c r="D67" i="53"/>
  <c r="D66" i="53"/>
  <c r="D47" i="53"/>
  <c r="E40" i="52"/>
  <c r="E17" i="52"/>
  <c r="E18" i="52" s="1"/>
  <c r="E20" i="52" s="1"/>
  <c r="E33" i="54" l="1"/>
  <c r="E31" i="19" s="1"/>
  <c r="E35" i="19" s="1"/>
  <c r="E65" i="54"/>
  <c r="E68" i="54" s="1"/>
  <c r="E78" i="54"/>
  <c r="E81" i="54"/>
  <c r="E20" i="54"/>
  <c r="E24" i="19" s="1"/>
  <c r="E28" i="19" s="1"/>
  <c r="E73" i="54"/>
  <c r="E80" i="54"/>
  <c r="E85" i="54" s="1"/>
  <c r="E128" i="19"/>
  <c r="F50" i="56"/>
  <c r="F51" i="56" s="1"/>
  <c r="F17" i="56"/>
  <c r="E70" i="19"/>
  <c r="E73" i="19" s="1"/>
  <c r="E52" i="54"/>
  <c r="E39" i="19" s="1"/>
  <c r="E125" i="54"/>
  <c r="E64" i="19" s="1"/>
  <c r="D70" i="53"/>
  <c r="D73" i="53" s="1"/>
  <c r="D105" i="53"/>
  <c r="D108" i="53" s="1"/>
  <c r="D116" i="53"/>
  <c r="D119" i="53" s="1"/>
  <c r="D93" i="53"/>
  <c r="D97" i="53" s="1"/>
  <c r="D82" i="53"/>
  <c r="D85" i="53" s="1"/>
  <c r="D59" i="53"/>
  <c r="D61" i="53" s="1"/>
  <c r="D49" i="53"/>
  <c r="D127" i="53"/>
  <c r="E45" i="19" l="1"/>
  <c r="E48" i="19" s="1"/>
  <c r="E89" i="54"/>
  <c r="E51" i="19"/>
  <c r="E55" i="19" s="1"/>
  <c r="D130" i="53"/>
  <c r="E537" i="19"/>
  <c r="D52" i="53"/>
  <c r="E469" i="19"/>
  <c r="F20" i="56"/>
  <c r="E132" i="19"/>
  <c r="E135" i="19" s="1"/>
  <c r="F55" i="56"/>
  <c r="E144" i="19"/>
  <c r="E148" i="19" s="1"/>
  <c r="D120" i="53"/>
  <c r="D157" i="36"/>
  <c r="D161" i="36"/>
  <c r="D165" i="36"/>
  <c r="D169" i="36"/>
  <c r="C169" i="36"/>
  <c r="D168" i="36"/>
  <c r="C168" i="36"/>
  <c r="D167" i="36"/>
  <c r="C167" i="36"/>
  <c r="D166" i="36"/>
  <c r="C166" i="36"/>
  <c r="C165" i="36"/>
  <c r="D164" i="36"/>
  <c r="C164" i="36"/>
  <c r="D163" i="36"/>
  <c r="C163" i="36"/>
  <c r="D162" i="36"/>
  <c r="C162" i="36"/>
  <c r="C161" i="36"/>
  <c r="D160" i="36"/>
  <c r="C160" i="36"/>
  <c r="D159" i="36"/>
  <c r="C159" i="36"/>
  <c r="D158" i="36"/>
  <c r="C158" i="36"/>
  <c r="C157" i="36"/>
  <c r="D156" i="36"/>
  <c r="C156" i="36"/>
  <c r="D155" i="36"/>
  <c r="C155" i="36"/>
  <c r="D154" i="36"/>
  <c r="C154" i="36"/>
  <c r="D153" i="36"/>
  <c r="C153" i="36"/>
  <c r="D152" i="36"/>
  <c r="C152" i="36"/>
  <c r="D151" i="36"/>
  <c r="C151" i="36"/>
  <c r="D150" i="36"/>
  <c r="C150" i="36"/>
  <c r="C149" i="36"/>
  <c r="D148" i="36"/>
  <c r="C148" i="36"/>
  <c r="D147" i="36"/>
  <c r="C147" i="36"/>
  <c r="D146" i="36"/>
  <c r="C146" i="36"/>
  <c r="C145" i="36"/>
  <c r="E145" i="36" s="1"/>
  <c r="D144" i="36"/>
  <c r="C144" i="36"/>
  <c r="D143" i="36"/>
  <c r="C143" i="36"/>
  <c r="D142" i="36"/>
  <c r="C142" i="36"/>
  <c r="D141" i="36"/>
  <c r="C141" i="36"/>
  <c r="C140" i="36"/>
  <c r="E140" i="36" s="1"/>
  <c r="C139" i="36"/>
  <c r="E146" i="36" l="1"/>
  <c r="E148" i="36"/>
  <c r="E142" i="36"/>
  <c r="E144" i="36"/>
  <c r="E164" i="36"/>
  <c r="E152" i="36"/>
  <c r="E159" i="36"/>
  <c r="E155" i="36"/>
  <c r="E169" i="36"/>
  <c r="E165" i="36"/>
  <c r="E139" i="36"/>
  <c r="E143" i="36"/>
  <c r="E149" i="36"/>
  <c r="E161" i="36"/>
  <c r="E168" i="36"/>
  <c r="E154" i="36"/>
  <c r="E156" i="36"/>
  <c r="E158" i="36"/>
  <c r="E160" i="36"/>
  <c r="E162" i="36"/>
  <c r="E147" i="36"/>
  <c r="E151" i="36"/>
  <c r="E153" i="36"/>
  <c r="E167" i="36"/>
  <c r="E163" i="36"/>
  <c r="E141" i="36"/>
  <c r="E150" i="36"/>
  <c r="E157" i="36"/>
  <c r="E166" i="36"/>
  <c r="E170" i="36" l="1"/>
  <c r="E173" i="36" s="1"/>
  <c r="E540" i="19" l="1"/>
  <c r="E445" i="19"/>
  <c r="E409" i="19" l="1"/>
  <c r="E370" i="19"/>
  <c r="E40" i="45"/>
  <c r="E39" i="45"/>
  <c r="E38" i="45"/>
  <c r="E37" i="45"/>
  <c r="E35" i="45"/>
  <c r="E34" i="45"/>
  <c r="E33" i="45"/>
  <c r="E32" i="45"/>
  <c r="E31" i="45"/>
  <c r="D29" i="45"/>
  <c r="E29" i="45" s="1"/>
  <c r="E28" i="45"/>
  <c r="E27" i="45"/>
  <c r="E26" i="45"/>
  <c r="E25" i="45"/>
  <c r="E200" i="45"/>
  <c r="E199" i="45"/>
  <c r="E198" i="45"/>
  <c r="E197" i="45"/>
  <c r="E196" i="45"/>
  <c r="E195" i="45"/>
  <c r="E190" i="45"/>
  <c r="D188" i="45"/>
  <c r="E188" i="45" s="1"/>
  <c r="D187" i="45"/>
  <c r="E187" i="45" s="1"/>
  <c r="D186" i="45"/>
  <c r="E186" i="45" s="1"/>
  <c r="D185" i="45"/>
  <c r="E185" i="45" s="1"/>
  <c r="D184" i="45"/>
  <c r="E184" i="45" s="1"/>
  <c r="D183" i="45"/>
  <c r="E183" i="45" s="1"/>
  <c r="D182" i="45"/>
  <c r="E182" i="45" s="1"/>
  <c r="E175" i="45"/>
  <c r="E48" i="45"/>
  <c r="E49" i="45" s="1"/>
  <c r="E364" i="19" l="1"/>
  <c r="E367" i="19" s="1"/>
  <c r="E178" i="45"/>
  <c r="E52" i="45"/>
  <c r="E352" i="19"/>
  <c r="E41" i="45"/>
  <c r="E44" i="45" s="1"/>
  <c r="E189" i="45"/>
  <c r="E201" i="45"/>
  <c r="E346" i="19" l="1"/>
  <c r="E191" i="45"/>
  <c r="E340" i="19" l="1"/>
  <c r="E198" i="19" l="1"/>
  <c r="E158" i="19"/>
  <c r="E152" i="19"/>
  <c r="E235" i="36" l="1"/>
  <c r="E617" i="19"/>
  <c r="E547" i="19"/>
  <c r="E518" i="19"/>
  <c r="E412" i="19"/>
  <c r="E373" i="19"/>
  <c r="E355" i="19"/>
  <c r="E349" i="19"/>
  <c r="E343" i="19"/>
  <c r="E336" i="19"/>
  <c r="E201" i="19"/>
  <c r="E161" i="19"/>
  <c r="E238" i="36" l="1"/>
  <c r="E275" i="19"/>
  <c r="E278" i="19" s="1"/>
  <c r="E155" i="19"/>
  <c r="E284" i="19" l="1"/>
  <c r="E185" i="46"/>
  <c r="E184" i="46"/>
  <c r="E183" i="46"/>
  <c r="E182" i="46"/>
  <c r="E181" i="46"/>
  <c r="E173" i="46"/>
  <c r="E172" i="46"/>
  <c r="E171" i="46"/>
  <c r="E170" i="46"/>
  <c r="E169" i="46"/>
  <c r="D159" i="46"/>
  <c r="C159" i="46"/>
  <c r="D158" i="46"/>
  <c r="C158" i="46"/>
  <c r="D157" i="46"/>
  <c r="C157" i="46"/>
  <c r="D156" i="46"/>
  <c r="C156" i="46"/>
  <c r="D155" i="46"/>
  <c r="C155" i="46"/>
  <c r="D154" i="46"/>
  <c r="C154" i="46"/>
  <c r="D153" i="46"/>
  <c r="C153" i="46"/>
  <c r="D152" i="46"/>
  <c r="C152" i="46"/>
  <c r="D151" i="46"/>
  <c r="C151" i="46"/>
  <c r="D150" i="46"/>
  <c r="C150" i="46"/>
  <c r="D149" i="46"/>
  <c r="C149" i="46"/>
  <c r="D148" i="46"/>
  <c r="C148" i="46"/>
  <c r="D147" i="46"/>
  <c r="C147" i="46"/>
  <c r="D146" i="46"/>
  <c r="C146" i="46"/>
  <c r="D145" i="46"/>
  <c r="C145" i="46"/>
  <c r="D144" i="46"/>
  <c r="C144" i="46"/>
  <c r="D143" i="46"/>
  <c r="C143" i="46"/>
  <c r="D142" i="46"/>
  <c r="C142" i="46"/>
  <c r="D141" i="46"/>
  <c r="C141" i="46"/>
  <c r="D140" i="46"/>
  <c r="C140" i="46"/>
  <c r="D139" i="46"/>
  <c r="C139" i="46"/>
  <c r="D138" i="46"/>
  <c r="C138" i="46"/>
  <c r="E134" i="46"/>
  <c r="C130" i="46"/>
  <c r="D130" i="46" s="1"/>
  <c r="E130" i="46" s="1"/>
  <c r="C129" i="46"/>
  <c r="D129" i="46" s="1"/>
  <c r="E129" i="46" s="1"/>
  <c r="C128" i="46"/>
  <c r="D128" i="46" s="1"/>
  <c r="E128" i="46" s="1"/>
  <c r="C127" i="46"/>
  <c r="D127" i="46" s="1"/>
  <c r="E127" i="46" s="1"/>
  <c r="C126" i="46"/>
  <c r="D126" i="46" s="1"/>
  <c r="E126" i="46" s="1"/>
  <c r="C125" i="46"/>
  <c r="D125" i="46" s="1"/>
  <c r="E125" i="46" s="1"/>
  <c r="C124" i="46"/>
  <c r="D124" i="46" s="1"/>
  <c r="E124" i="46" s="1"/>
  <c r="C123" i="46"/>
  <c r="D123" i="46" s="1"/>
  <c r="E123" i="46" s="1"/>
  <c r="C122" i="46"/>
  <c r="D122" i="46" s="1"/>
  <c r="E122" i="46" s="1"/>
  <c r="C121" i="46"/>
  <c r="D121" i="46" s="1"/>
  <c r="E121" i="46" s="1"/>
  <c r="C120" i="46"/>
  <c r="D120" i="46" s="1"/>
  <c r="E120" i="46" s="1"/>
  <c r="C119" i="46"/>
  <c r="D119" i="46" s="1"/>
  <c r="E119" i="46" s="1"/>
  <c r="C118" i="46"/>
  <c r="D118" i="46" s="1"/>
  <c r="E118" i="46" s="1"/>
  <c r="C117" i="46"/>
  <c r="D117" i="46" s="1"/>
  <c r="E117" i="46" s="1"/>
  <c r="C116" i="46"/>
  <c r="D116" i="46" s="1"/>
  <c r="E116" i="46" s="1"/>
  <c r="C115" i="46"/>
  <c r="D115" i="46" s="1"/>
  <c r="E115" i="46" s="1"/>
  <c r="C114" i="46"/>
  <c r="D114" i="46" s="1"/>
  <c r="E114" i="46" s="1"/>
  <c r="C113" i="46"/>
  <c r="D113" i="46" s="1"/>
  <c r="E113" i="46" s="1"/>
  <c r="C112" i="46"/>
  <c r="D112" i="46" s="1"/>
  <c r="E112" i="46" s="1"/>
  <c r="C111" i="46"/>
  <c r="D111" i="46" s="1"/>
  <c r="E111" i="46" s="1"/>
  <c r="C110" i="46"/>
  <c r="D110" i="46" s="1"/>
  <c r="E110" i="46" s="1"/>
  <c r="C109" i="46"/>
  <c r="D109" i="46" s="1"/>
  <c r="E109" i="46" s="1"/>
  <c r="C108" i="46"/>
  <c r="D108" i="46" s="1"/>
  <c r="E108" i="46" s="1"/>
  <c r="C107" i="46"/>
  <c r="D107" i="46" s="1"/>
  <c r="E107" i="46" s="1"/>
  <c r="C106" i="46"/>
  <c r="D106" i="46" s="1"/>
  <c r="E106" i="46" s="1"/>
  <c r="C105" i="46"/>
  <c r="D105" i="46" s="1"/>
  <c r="E105" i="46" s="1"/>
  <c r="C104" i="46"/>
  <c r="D104" i="46" s="1"/>
  <c r="E104" i="46" s="1"/>
  <c r="C103" i="46"/>
  <c r="D103" i="46" s="1"/>
  <c r="E103" i="46" s="1"/>
  <c r="C102" i="46"/>
  <c r="D102" i="46" s="1"/>
  <c r="E102" i="46" s="1"/>
  <c r="C101" i="46"/>
  <c r="D101" i="46" s="1"/>
  <c r="E101" i="46" s="1"/>
  <c r="C100" i="46"/>
  <c r="D100" i="46" s="1"/>
  <c r="E100" i="46" s="1"/>
  <c r="C99" i="46"/>
  <c r="D99" i="46" s="1"/>
  <c r="E99" i="46" s="1"/>
  <c r="C98" i="46"/>
  <c r="D98" i="46" s="1"/>
  <c r="E98" i="46" s="1"/>
  <c r="C97" i="46"/>
  <c r="D97" i="46" s="1"/>
  <c r="E97" i="46" s="1"/>
  <c r="C96" i="46"/>
  <c r="D96" i="46" s="1"/>
  <c r="E96" i="46" s="1"/>
  <c r="C95" i="46"/>
  <c r="D95" i="46" s="1"/>
  <c r="E95" i="46" s="1"/>
  <c r="C94" i="46"/>
  <c r="D94" i="46" s="1"/>
  <c r="E94" i="46" s="1"/>
  <c r="C93" i="46"/>
  <c r="D93" i="46" s="1"/>
  <c r="E93" i="46" s="1"/>
  <c r="C92" i="46"/>
  <c r="D92" i="46" s="1"/>
  <c r="E92" i="46" s="1"/>
  <c r="C91" i="46"/>
  <c r="D91" i="46" s="1"/>
  <c r="E91" i="46" s="1"/>
  <c r="C90" i="46"/>
  <c r="D90" i="46" s="1"/>
  <c r="E90" i="46" s="1"/>
  <c r="C89" i="46"/>
  <c r="D89" i="46" s="1"/>
  <c r="E89" i="46" s="1"/>
  <c r="C88" i="46"/>
  <c r="D88" i="46" s="1"/>
  <c r="E88" i="46" s="1"/>
  <c r="C87" i="46"/>
  <c r="D87" i="46" s="1"/>
  <c r="E87" i="46" s="1"/>
  <c r="C86" i="46"/>
  <c r="D86" i="46" s="1"/>
  <c r="E86" i="46" s="1"/>
  <c r="C85" i="46"/>
  <c r="D85" i="46" s="1"/>
  <c r="E85" i="46" s="1"/>
  <c r="C84" i="46"/>
  <c r="D84" i="46" s="1"/>
  <c r="E84" i="46" s="1"/>
  <c r="C83" i="46"/>
  <c r="D83" i="46" s="1"/>
  <c r="E83" i="46" s="1"/>
  <c r="C82" i="46"/>
  <c r="D82" i="46" s="1"/>
  <c r="E82" i="46" s="1"/>
  <c r="C81" i="46"/>
  <c r="D81" i="46" s="1"/>
  <c r="E81" i="46" s="1"/>
  <c r="C80" i="46"/>
  <c r="D80" i="46" s="1"/>
  <c r="E80" i="46" s="1"/>
  <c r="C79" i="46"/>
  <c r="D79" i="46" s="1"/>
  <c r="E79" i="46" s="1"/>
  <c r="C78" i="46"/>
  <c r="D78" i="46" s="1"/>
  <c r="E78" i="46" s="1"/>
  <c r="C77" i="46"/>
  <c r="D77" i="46" s="1"/>
  <c r="E77" i="46" s="1"/>
  <c r="C76" i="46"/>
  <c r="D76" i="46" s="1"/>
  <c r="E76" i="46" s="1"/>
  <c r="C75" i="46"/>
  <c r="D75" i="46" s="1"/>
  <c r="E75" i="46" s="1"/>
  <c r="C74" i="46"/>
  <c r="D74" i="46" s="1"/>
  <c r="E74" i="46" s="1"/>
  <c r="C73" i="46"/>
  <c r="D73" i="46" s="1"/>
  <c r="E73" i="46" s="1"/>
  <c r="C72" i="46"/>
  <c r="D72" i="46" s="1"/>
  <c r="E72" i="46" s="1"/>
  <c r="C71" i="46"/>
  <c r="D71" i="46" s="1"/>
  <c r="E71" i="46" s="1"/>
  <c r="C70" i="46"/>
  <c r="D70" i="46" s="1"/>
  <c r="E70" i="46" s="1"/>
  <c r="C69" i="46"/>
  <c r="D69" i="46" s="1"/>
  <c r="E69" i="46" s="1"/>
  <c r="C68" i="46"/>
  <c r="D68" i="46" s="1"/>
  <c r="E68" i="46" s="1"/>
  <c r="C67" i="46"/>
  <c r="D67" i="46" s="1"/>
  <c r="E67" i="46" s="1"/>
  <c r="C66" i="46"/>
  <c r="D66" i="46" s="1"/>
  <c r="E66" i="46" s="1"/>
  <c r="C65" i="46"/>
  <c r="D65" i="46" s="1"/>
  <c r="E65" i="46" s="1"/>
  <c r="C64" i="46"/>
  <c r="D64" i="46" s="1"/>
  <c r="E64" i="46" s="1"/>
  <c r="C63" i="46"/>
  <c r="D63" i="46" s="1"/>
  <c r="E63" i="46" s="1"/>
  <c r="C62" i="46"/>
  <c r="D62" i="46" s="1"/>
  <c r="E62" i="46" s="1"/>
  <c r="C61" i="46"/>
  <c r="D61" i="46" s="1"/>
  <c r="E61" i="46" s="1"/>
  <c r="C60" i="46"/>
  <c r="D60" i="46" s="1"/>
  <c r="E60" i="46" s="1"/>
  <c r="C59" i="46"/>
  <c r="D59" i="46" s="1"/>
  <c r="E59" i="46" s="1"/>
  <c r="C58" i="46"/>
  <c r="D58" i="46" s="1"/>
  <c r="E58" i="46" s="1"/>
  <c r="C57" i="46"/>
  <c r="D57" i="46" s="1"/>
  <c r="E57" i="46" s="1"/>
  <c r="C56" i="46"/>
  <c r="D56" i="46" s="1"/>
  <c r="E56" i="46" s="1"/>
  <c r="C55" i="46"/>
  <c r="D55" i="46" s="1"/>
  <c r="E55" i="46" s="1"/>
  <c r="C54" i="46"/>
  <c r="D54" i="46" s="1"/>
  <c r="E54" i="46" s="1"/>
  <c r="C53" i="46"/>
  <c r="D53" i="46" s="1"/>
  <c r="E53" i="46" s="1"/>
  <c r="C52" i="46"/>
  <c r="D52" i="46" s="1"/>
  <c r="E52" i="46" s="1"/>
  <c r="C51" i="46"/>
  <c r="D51" i="46" s="1"/>
  <c r="E51" i="46" s="1"/>
  <c r="C50" i="46"/>
  <c r="D50" i="46" s="1"/>
  <c r="E50" i="46" s="1"/>
  <c r="C49" i="46"/>
  <c r="D49" i="46" s="1"/>
  <c r="E49" i="46" s="1"/>
  <c r="C48" i="46"/>
  <c r="D48" i="46" s="1"/>
  <c r="E48" i="46" s="1"/>
  <c r="C47" i="46"/>
  <c r="D47" i="46" s="1"/>
  <c r="E47" i="46" s="1"/>
  <c r="C46" i="46"/>
  <c r="D46" i="46" s="1"/>
  <c r="E46" i="46" s="1"/>
  <c r="C45" i="46"/>
  <c r="D45" i="46" s="1"/>
  <c r="E45" i="46" s="1"/>
  <c r="C44" i="46"/>
  <c r="D44" i="46" s="1"/>
  <c r="E44" i="46" s="1"/>
  <c r="C43" i="46"/>
  <c r="D43" i="46" s="1"/>
  <c r="E43" i="46" s="1"/>
  <c r="C42" i="46"/>
  <c r="D42" i="46" s="1"/>
  <c r="E42" i="46" s="1"/>
  <c r="C41" i="46"/>
  <c r="D41" i="46" s="1"/>
  <c r="E41" i="46" s="1"/>
  <c r="C40" i="46"/>
  <c r="D40" i="46" s="1"/>
  <c r="E40" i="46" s="1"/>
  <c r="C39" i="46"/>
  <c r="D39" i="46" s="1"/>
  <c r="E39" i="46" s="1"/>
  <c r="C38" i="46"/>
  <c r="D38" i="46" s="1"/>
  <c r="E38" i="46" s="1"/>
  <c r="C37" i="46"/>
  <c r="D37" i="46" s="1"/>
  <c r="E37" i="46" s="1"/>
  <c r="C36" i="46"/>
  <c r="D36" i="46" s="1"/>
  <c r="E36" i="46" s="1"/>
  <c r="C35" i="46"/>
  <c r="D35" i="46" s="1"/>
  <c r="E35" i="46" s="1"/>
  <c r="C34" i="46"/>
  <c r="D34" i="46" s="1"/>
  <c r="E34" i="46" s="1"/>
  <c r="C33" i="46"/>
  <c r="D33" i="46" s="1"/>
  <c r="E33" i="46" s="1"/>
  <c r="E28" i="46"/>
  <c r="E152" i="46" l="1"/>
  <c r="E155" i="46"/>
  <c r="E159" i="46"/>
  <c r="E186" i="46"/>
  <c r="E289" i="19" s="1"/>
  <c r="E292" i="19" s="1"/>
  <c r="E139" i="46"/>
  <c r="E143" i="46"/>
  <c r="E151" i="46"/>
  <c r="E156" i="46"/>
  <c r="E142" i="46"/>
  <c r="E144" i="46"/>
  <c r="E146" i="46"/>
  <c r="D20" i="46"/>
  <c r="E20" i="46" s="1"/>
  <c r="E145" i="46"/>
  <c r="E148" i="46"/>
  <c r="E150" i="46"/>
  <c r="E140" i="46"/>
  <c r="E158" i="46"/>
  <c r="D24" i="46"/>
  <c r="E24" i="46" s="1"/>
  <c r="D17" i="46"/>
  <c r="E17" i="46" s="1"/>
  <c r="D21" i="46"/>
  <c r="E21" i="46" s="1"/>
  <c r="D22" i="46"/>
  <c r="E22" i="46" s="1"/>
  <c r="E153" i="46"/>
  <c r="E149" i="46"/>
  <c r="E138" i="46"/>
  <c r="E141" i="46"/>
  <c r="E147" i="46"/>
  <c r="E154" i="46"/>
  <c r="E157" i="46"/>
  <c r="E174" i="46"/>
  <c r="D18" i="46"/>
  <c r="E18" i="46" s="1"/>
  <c r="D19" i="46"/>
  <c r="E19" i="46" s="1"/>
  <c r="D16" i="46"/>
  <c r="E16" i="46" s="1"/>
  <c r="E131" i="46"/>
  <c r="E135" i="46" s="1"/>
  <c r="D23" i="46"/>
  <c r="E23" i="46" s="1"/>
  <c r="E189" i="46" l="1"/>
  <c r="E177" i="46"/>
  <c r="E283" i="19"/>
  <c r="E160" i="46"/>
  <c r="E163" i="46" s="1"/>
  <c r="E25" i="46"/>
  <c r="E29" i="46" s="1"/>
  <c r="D139" i="45" l="1"/>
  <c r="E139" i="45" s="1"/>
  <c r="D138" i="45"/>
  <c r="E138" i="45" s="1"/>
  <c r="D137" i="45"/>
  <c r="E137" i="45" s="1"/>
  <c r="D127" i="45"/>
  <c r="E127" i="45" s="1"/>
  <c r="D126" i="45"/>
  <c r="E126" i="45" s="1"/>
  <c r="D125" i="45"/>
  <c r="E125" i="45" s="1"/>
  <c r="D163" i="45"/>
  <c r="E163" i="45" s="1"/>
  <c r="D162" i="45"/>
  <c r="E162" i="45" s="1"/>
  <c r="D161" i="45"/>
  <c r="E161" i="45" s="1"/>
  <c r="E160" i="45"/>
  <c r="E158" i="45"/>
  <c r="E157" i="45"/>
  <c r="E156" i="45"/>
  <c r="D155" i="45"/>
  <c r="E155" i="45" s="1"/>
  <c r="D154" i="45"/>
  <c r="E154" i="45" s="1"/>
  <c r="E153" i="45"/>
  <c r="E152" i="45"/>
  <c r="D165" i="45"/>
  <c r="E165" i="45" s="1"/>
  <c r="E148" i="45"/>
  <c r="E146" i="45"/>
  <c r="E145" i="45"/>
  <c r="E144" i="45"/>
  <c r="D143" i="45"/>
  <c r="E143" i="45" s="1"/>
  <c r="D142" i="45"/>
  <c r="E142" i="45" s="1"/>
  <c r="E141" i="45"/>
  <c r="E140" i="45"/>
  <c r="E136" i="45"/>
  <c r="E134" i="45"/>
  <c r="E133" i="45"/>
  <c r="E132" i="45"/>
  <c r="D131" i="45"/>
  <c r="E131" i="45" s="1"/>
  <c r="E130" i="45"/>
  <c r="E129" i="45"/>
  <c r="E128" i="45"/>
  <c r="E124" i="45"/>
  <c r="E122" i="45"/>
  <c r="E121" i="45"/>
  <c r="E120" i="45"/>
  <c r="D119" i="45"/>
  <c r="E119" i="45" s="1"/>
  <c r="E118" i="45"/>
  <c r="E117" i="45"/>
  <c r="E116" i="45"/>
  <c r="E115" i="45"/>
  <c r="E110" i="45"/>
  <c r="E108" i="45"/>
  <c r="E107" i="45"/>
  <c r="E106" i="45"/>
  <c r="E105" i="45"/>
  <c r="E97" i="45"/>
  <c r="E96" i="45"/>
  <c r="E95" i="45"/>
  <c r="E94" i="45"/>
  <c r="E93" i="45"/>
  <c r="E92" i="45"/>
  <c r="E91" i="45"/>
  <c r="E86" i="45"/>
  <c r="E85" i="45"/>
  <c r="E84" i="45"/>
  <c r="E83" i="45"/>
  <c r="E80" i="45"/>
  <c r="E79" i="45"/>
  <c r="E75" i="45"/>
  <c r="E74" i="45"/>
  <c r="E73" i="45"/>
  <c r="E72" i="45"/>
  <c r="E71" i="45"/>
  <c r="E63" i="45"/>
  <c r="E62" i="45"/>
  <c r="E61" i="45"/>
  <c r="E60" i="45"/>
  <c r="E59" i="45"/>
  <c r="E57" i="45"/>
  <c r="E56" i="45"/>
  <c r="E166" i="45" l="1"/>
  <c r="E169" i="45" l="1"/>
  <c r="E358" i="19"/>
  <c r="E361" i="19" s="1"/>
  <c r="E620" i="19"/>
  <c r="E623" i="19" s="1"/>
  <c r="E27" i="44"/>
  <c r="E30" i="44"/>
  <c r="E629" i="19"/>
  <c r="E649" i="19"/>
  <c r="E642" i="19"/>
  <c r="E636" i="19"/>
  <c r="E628" i="19"/>
  <c r="E631" i="19" s="1"/>
  <c r="E647" i="19" l="1"/>
  <c r="E635" i="19"/>
  <c r="E638" i="19" s="1"/>
  <c r="E641" i="19"/>
  <c r="E644" i="19" s="1"/>
  <c r="E191" i="19" l="1"/>
  <c r="E194" i="19" s="1"/>
  <c r="E173" i="19" l="1"/>
  <c r="E176" i="19" s="1"/>
  <c r="E179" i="19"/>
  <c r="E182" i="19" s="1"/>
  <c r="E167" i="19"/>
  <c r="E185" i="19"/>
  <c r="E170" i="19" l="1"/>
  <c r="E169" i="19"/>
  <c r="E403" i="19" l="1"/>
  <c r="E551" i="19" l="1"/>
  <c r="E556" i="19" l="1"/>
  <c r="E558" i="19" s="1"/>
  <c r="E566" i="19"/>
  <c r="E568" i="19" s="1"/>
  <c r="E561" i="19"/>
  <c r="E563" i="19" s="1"/>
  <c r="E269" i="19" l="1"/>
  <c r="E270" i="19" s="1"/>
  <c r="E135" i="36" l="1"/>
  <c r="C131" i="36"/>
  <c r="D131" i="36" s="1"/>
  <c r="E131" i="36" s="1"/>
  <c r="C130" i="36"/>
  <c r="D130" i="36" s="1"/>
  <c r="E130" i="36" s="1"/>
  <c r="C129" i="36"/>
  <c r="D129" i="36" s="1"/>
  <c r="E129" i="36" s="1"/>
  <c r="C128" i="36"/>
  <c r="D128" i="36" s="1"/>
  <c r="E128" i="36" s="1"/>
  <c r="C127" i="36"/>
  <c r="D127" i="36" s="1"/>
  <c r="E127" i="36" s="1"/>
  <c r="C126" i="36"/>
  <c r="D126" i="36" s="1"/>
  <c r="E126" i="36" s="1"/>
  <c r="C125" i="36"/>
  <c r="D125" i="36" s="1"/>
  <c r="E125" i="36" s="1"/>
  <c r="C124" i="36"/>
  <c r="D124" i="36" s="1"/>
  <c r="E124" i="36" s="1"/>
  <c r="C123" i="36"/>
  <c r="D123" i="36" s="1"/>
  <c r="E123" i="36" s="1"/>
  <c r="C122" i="36"/>
  <c r="D122" i="36" s="1"/>
  <c r="E122" i="36" s="1"/>
  <c r="C121" i="36"/>
  <c r="D121" i="36" s="1"/>
  <c r="E121" i="36" s="1"/>
  <c r="C120" i="36"/>
  <c r="D120" i="36" s="1"/>
  <c r="E120" i="36" s="1"/>
  <c r="C119" i="36"/>
  <c r="D119" i="36" s="1"/>
  <c r="E119" i="36" s="1"/>
  <c r="C118" i="36"/>
  <c r="D118" i="36" s="1"/>
  <c r="E118" i="36" s="1"/>
  <c r="C117" i="36"/>
  <c r="D117" i="36" s="1"/>
  <c r="E117" i="36" s="1"/>
  <c r="C116" i="36"/>
  <c r="D116" i="36" s="1"/>
  <c r="E116" i="36" s="1"/>
  <c r="C115" i="36"/>
  <c r="D115" i="36" s="1"/>
  <c r="E115" i="36" s="1"/>
  <c r="C114" i="36"/>
  <c r="D114" i="36" s="1"/>
  <c r="E114" i="36" s="1"/>
  <c r="C113" i="36"/>
  <c r="D113" i="36" s="1"/>
  <c r="E113" i="36" s="1"/>
  <c r="C112" i="36"/>
  <c r="D112" i="36" s="1"/>
  <c r="E112" i="36" s="1"/>
  <c r="C111" i="36"/>
  <c r="D111" i="36" s="1"/>
  <c r="E111" i="36" s="1"/>
  <c r="C110" i="36"/>
  <c r="D110" i="36" s="1"/>
  <c r="E110" i="36" s="1"/>
  <c r="C109" i="36"/>
  <c r="D109" i="36" s="1"/>
  <c r="E109" i="36" s="1"/>
  <c r="C108" i="36"/>
  <c r="D108" i="36" s="1"/>
  <c r="E108" i="36" s="1"/>
  <c r="C107" i="36"/>
  <c r="D107" i="36" s="1"/>
  <c r="E107" i="36" s="1"/>
  <c r="C106" i="36"/>
  <c r="D106" i="36" s="1"/>
  <c r="E106" i="36" s="1"/>
  <c r="C105" i="36"/>
  <c r="D105" i="36" s="1"/>
  <c r="E105" i="36" s="1"/>
  <c r="C104" i="36"/>
  <c r="D104" i="36" s="1"/>
  <c r="E104" i="36" s="1"/>
  <c r="C103" i="36"/>
  <c r="D103" i="36" s="1"/>
  <c r="E103" i="36" s="1"/>
  <c r="C102" i="36"/>
  <c r="D102" i="36" s="1"/>
  <c r="E102" i="36" s="1"/>
  <c r="C101" i="36"/>
  <c r="D101" i="36" s="1"/>
  <c r="E101" i="36" s="1"/>
  <c r="C100" i="36"/>
  <c r="D100" i="36" s="1"/>
  <c r="E100" i="36" s="1"/>
  <c r="C99" i="36"/>
  <c r="D99" i="36" s="1"/>
  <c r="E99" i="36" s="1"/>
  <c r="C98" i="36"/>
  <c r="D98" i="36" s="1"/>
  <c r="E98" i="36" s="1"/>
  <c r="C97" i="36"/>
  <c r="D97" i="36" s="1"/>
  <c r="E97" i="36" s="1"/>
  <c r="C96" i="36"/>
  <c r="D96" i="36" s="1"/>
  <c r="E96" i="36" s="1"/>
  <c r="C95" i="36"/>
  <c r="D95" i="36" s="1"/>
  <c r="E95" i="36" s="1"/>
  <c r="C94" i="36"/>
  <c r="D94" i="36" s="1"/>
  <c r="E94" i="36" s="1"/>
  <c r="C93" i="36"/>
  <c r="D93" i="36" s="1"/>
  <c r="E93" i="36" s="1"/>
  <c r="C92" i="36"/>
  <c r="D92" i="36" s="1"/>
  <c r="E92" i="36" s="1"/>
  <c r="C91" i="36"/>
  <c r="D91" i="36" s="1"/>
  <c r="E91" i="36" s="1"/>
  <c r="C90" i="36"/>
  <c r="D90" i="36" s="1"/>
  <c r="E90" i="36" s="1"/>
  <c r="C89" i="36"/>
  <c r="D89" i="36" s="1"/>
  <c r="E89" i="36" s="1"/>
  <c r="C88" i="36"/>
  <c r="D88" i="36" s="1"/>
  <c r="E88" i="36" s="1"/>
  <c r="C87" i="36"/>
  <c r="D87" i="36" s="1"/>
  <c r="E87" i="36" s="1"/>
  <c r="C86" i="36"/>
  <c r="D86" i="36" s="1"/>
  <c r="E86" i="36" s="1"/>
  <c r="C85" i="36"/>
  <c r="D85" i="36" s="1"/>
  <c r="E85" i="36" s="1"/>
  <c r="C84" i="36"/>
  <c r="D84" i="36" s="1"/>
  <c r="E84" i="36" s="1"/>
  <c r="C83" i="36"/>
  <c r="D83" i="36" s="1"/>
  <c r="E83" i="36" s="1"/>
  <c r="C82" i="36"/>
  <c r="D82" i="36" s="1"/>
  <c r="E82" i="36" s="1"/>
  <c r="C81" i="36"/>
  <c r="D81" i="36" s="1"/>
  <c r="E81" i="36" s="1"/>
  <c r="C80" i="36"/>
  <c r="D80" i="36" s="1"/>
  <c r="E80" i="36" s="1"/>
  <c r="C79" i="36"/>
  <c r="D79" i="36" s="1"/>
  <c r="E79" i="36" s="1"/>
  <c r="C78" i="36"/>
  <c r="D78" i="36" s="1"/>
  <c r="E78" i="36" s="1"/>
  <c r="C77" i="36"/>
  <c r="D77" i="36" s="1"/>
  <c r="E77" i="36" s="1"/>
  <c r="C76" i="36"/>
  <c r="D76" i="36" s="1"/>
  <c r="E76" i="36" s="1"/>
  <c r="C75" i="36"/>
  <c r="D75" i="36" s="1"/>
  <c r="E75" i="36" s="1"/>
  <c r="C74" i="36"/>
  <c r="D74" i="36" s="1"/>
  <c r="E74" i="36" s="1"/>
  <c r="C73" i="36"/>
  <c r="D73" i="36" s="1"/>
  <c r="E73" i="36" s="1"/>
  <c r="C72" i="36"/>
  <c r="D72" i="36" s="1"/>
  <c r="E72" i="36" s="1"/>
  <c r="C71" i="36"/>
  <c r="D71" i="36" s="1"/>
  <c r="E71" i="36" s="1"/>
  <c r="C70" i="36"/>
  <c r="D70" i="36" s="1"/>
  <c r="E70" i="36" s="1"/>
  <c r="C69" i="36"/>
  <c r="D69" i="36" s="1"/>
  <c r="E69" i="36" s="1"/>
  <c r="C68" i="36"/>
  <c r="D68" i="36" s="1"/>
  <c r="E68" i="36" s="1"/>
  <c r="C67" i="36"/>
  <c r="D67" i="36" s="1"/>
  <c r="E67" i="36" s="1"/>
  <c r="C66" i="36"/>
  <c r="D66" i="36" s="1"/>
  <c r="E66" i="36" s="1"/>
  <c r="C65" i="36"/>
  <c r="D65" i="36" s="1"/>
  <c r="E65" i="36" s="1"/>
  <c r="C64" i="36"/>
  <c r="D64" i="36" s="1"/>
  <c r="E64" i="36" s="1"/>
  <c r="C63" i="36"/>
  <c r="D63" i="36" s="1"/>
  <c r="E63" i="36" s="1"/>
  <c r="C62" i="36"/>
  <c r="D62" i="36" s="1"/>
  <c r="E62" i="36" s="1"/>
  <c r="C61" i="36"/>
  <c r="D61" i="36" s="1"/>
  <c r="E61" i="36" s="1"/>
  <c r="C60" i="36"/>
  <c r="D60" i="36" s="1"/>
  <c r="E60" i="36" s="1"/>
  <c r="C59" i="36"/>
  <c r="D59" i="36" s="1"/>
  <c r="E59" i="36" s="1"/>
  <c r="C58" i="36"/>
  <c r="D58" i="36" s="1"/>
  <c r="E58" i="36" s="1"/>
  <c r="C57" i="36"/>
  <c r="D57" i="36" s="1"/>
  <c r="E57" i="36" s="1"/>
  <c r="C56" i="36"/>
  <c r="D56" i="36" s="1"/>
  <c r="E56" i="36" s="1"/>
  <c r="C55" i="36"/>
  <c r="D55" i="36" s="1"/>
  <c r="E55" i="36" s="1"/>
  <c r="C54" i="36"/>
  <c r="D54" i="36" s="1"/>
  <c r="E54" i="36" s="1"/>
  <c r="C53" i="36"/>
  <c r="D53" i="36" s="1"/>
  <c r="E53" i="36" s="1"/>
  <c r="C52" i="36"/>
  <c r="D52" i="36" s="1"/>
  <c r="E52" i="36" s="1"/>
  <c r="C51" i="36"/>
  <c r="D51" i="36" s="1"/>
  <c r="E51" i="36" s="1"/>
  <c r="C50" i="36"/>
  <c r="D50" i="36" s="1"/>
  <c r="E50" i="36" s="1"/>
  <c r="C49" i="36"/>
  <c r="D49" i="36" s="1"/>
  <c r="E49" i="36" s="1"/>
  <c r="C48" i="36"/>
  <c r="D48" i="36" s="1"/>
  <c r="E48" i="36" s="1"/>
  <c r="C47" i="36"/>
  <c r="D47" i="36" s="1"/>
  <c r="E47" i="36" s="1"/>
  <c r="C46" i="36"/>
  <c r="D46" i="36" s="1"/>
  <c r="E46" i="36" s="1"/>
  <c r="C45" i="36"/>
  <c r="D45" i="36" s="1"/>
  <c r="E45" i="36" s="1"/>
  <c r="C44" i="36"/>
  <c r="D44" i="36" s="1"/>
  <c r="E44" i="36" s="1"/>
  <c r="C43" i="36"/>
  <c r="D43" i="36" s="1"/>
  <c r="E43" i="36" s="1"/>
  <c r="C42" i="36"/>
  <c r="D42" i="36" s="1"/>
  <c r="E42" i="36" s="1"/>
  <c r="C41" i="36"/>
  <c r="D41" i="36" s="1"/>
  <c r="E41" i="36" s="1"/>
  <c r="C40" i="36"/>
  <c r="D40" i="36" s="1"/>
  <c r="E40" i="36" s="1"/>
  <c r="C39" i="36"/>
  <c r="D39" i="36" s="1"/>
  <c r="E39" i="36" s="1"/>
  <c r="C38" i="36"/>
  <c r="D38" i="36" s="1"/>
  <c r="E38" i="36" s="1"/>
  <c r="C37" i="36"/>
  <c r="D37" i="36" s="1"/>
  <c r="E37" i="36" s="1"/>
  <c r="C36" i="36"/>
  <c r="D36" i="36" s="1"/>
  <c r="E36" i="36" s="1"/>
  <c r="C35" i="36"/>
  <c r="D35" i="36" s="1"/>
  <c r="E35" i="36" s="1"/>
  <c r="C34" i="36"/>
  <c r="D34" i="36" s="1"/>
  <c r="E34" i="36" s="1"/>
  <c r="E29" i="36"/>
  <c r="D18" i="36" l="1"/>
  <c r="E18" i="36" s="1"/>
  <c r="D19" i="36"/>
  <c r="E19" i="36" s="1"/>
  <c r="D20" i="36"/>
  <c r="E20" i="36" s="1"/>
  <c r="D21" i="36"/>
  <c r="E21" i="36" s="1"/>
  <c r="D22" i="36"/>
  <c r="E22" i="36" s="1"/>
  <c r="D23" i="36"/>
  <c r="E23" i="36" s="1"/>
  <c r="D17" i="36"/>
  <c r="E17" i="36" s="1"/>
  <c r="E132" i="36"/>
  <c r="E136" i="36" s="1"/>
  <c r="D24" i="36"/>
  <c r="E24" i="36" s="1"/>
  <c r="D25" i="36"/>
  <c r="E25" i="36" s="1"/>
  <c r="E26" i="36" l="1"/>
  <c r="E30" i="36" s="1"/>
  <c r="E648" i="19"/>
  <c r="E650" i="19" l="1"/>
  <c r="E651" i="19"/>
  <c r="E533" i="19" l="1"/>
  <c r="E324" i="19" l="1"/>
  <c r="E426" i="19" l="1"/>
  <c r="E489" i="19" l="1"/>
  <c r="E492" i="19" s="1"/>
  <c r="E522" i="19" l="1"/>
  <c r="E526" i="19" s="1"/>
  <c r="E482" i="19"/>
  <c r="E485" i="19" s="1"/>
  <c r="E495" i="19"/>
  <c r="E499" i="19" s="1"/>
  <c r="E502" i="19"/>
  <c r="E505" i="19" s="1"/>
  <c r="E508" i="19"/>
  <c r="E512" i="19" s="1"/>
  <c r="E553" i="19" l="1"/>
  <c r="E478" i="19" l="1"/>
  <c r="E286" i="19"/>
  <c r="E472" i="19"/>
  <c r="E241" i="19" l="1"/>
  <c r="E243" i="19" s="1"/>
  <c r="E234" i="19"/>
  <c r="J419" i="1"/>
  <c r="M419" i="1" s="1"/>
  <c r="J220" i="1"/>
  <c r="M220" i="1" s="1"/>
  <c r="K83" i="1"/>
  <c r="K84" i="1"/>
  <c r="K85" i="1"/>
  <c r="K86" i="1"/>
  <c r="K57" i="1"/>
  <c r="K27" i="1"/>
  <c r="K390" i="1"/>
  <c r="K388" i="1"/>
  <c r="K24" i="1"/>
  <c r="K20" i="1"/>
  <c r="L109" i="1"/>
  <c r="J108" i="1"/>
  <c r="M108" i="1" s="1"/>
  <c r="J84" i="1"/>
  <c r="J85" i="1"/>
  <c r="M85" i="1" s="1"/>
  <c r="J14" i="1"/>
  <c r="M14" i="1" s="1"/>
  <c r="K16" i="1"/>
  <c r="F401" i="1"/>
  <c r="G401" i="1" s="1"/>
  <c r="F402" i="1"/>
  <c r="K402" i="1" s="1"/>
  <c r="G397" i="1"/>
  <c r="G398" i="1"/>
  <c r="G399" i="1"/>
  <c r="G400" i="1"/>
  <c r="G403" i="1"/>
  <c r="G62" i="1"/>
  <c r="G52" i="1"/>
  <c r="F37" i="1"/>
  <c r="G37" i="1" s="1"/>
  <c r="G80" i="1"/>
  <c r="F67" i="1"/>
  <c r="G67" i="1" s="1"/>
  <c r="F68" i="1"/>
  <c r="G68" i="1" s="1"/>
  <c r="F69" i="1"/>
  <c r="G76" i="1"/>
  <c r="G77" i="1"/>
  <c r="G78" i="1"/>
  <c r="G74" i="1"/>
  <c r="G65" i="1"/>
  <c r="G384" i="1"/>
  <c r="G391" i="1"/>
  <c r="G408" i="1"/>
  <c r="G409" i="1"/>
  <c r="G410" i="1"/>
  <c r="G411" i="1"/>
  <c r="G413" i="1"/>
  <c r="G414" i="1"/>
  <c r="G415" i="1"/>
  <c r="G416" i="1"/>
  <c r="G417" i="1"/>
  <c r="G418" i="1"/>
  <c r="G419" i="1"/>
  <c r="G420" i="1"/>
  <c r="G421" i="1"/>
  <c r="G422" i="1"/>
  <c r="G423" i="1"/>
  <c r="G425" i="1"/>
  <c r="G426" i="1"/>
  <c r="G424" i="1" s="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2" i="1"/>
  <c r="G203" i="1"/>
  <c r="G204" i="1"/>
  <c r="G205" i="1"/>
  <c r="G206" i="1"/>
  <c r="G207" i="1"/>
  <c r="G208" i="1"/>
  <c r="G210" i="1"/>
  <c r="G211" i="1"/>
  <c r="G212" i="1"/>
  <c r="G213" i="1"/>
  <c r="G214" i="1"/>
  <c r="G215" i="1"/>
  <c r="G216" i="1"/>
  <c r="G217" i="1"/>
  <c r="G218" i="1"/>
  <c r="G219" i="1"/>
  <c r="G220" i="1"/>
  <c r="G221" i="1"/>
  <c r="G222" i="1"/>
  <c r="G224" i="1"/>
  <c r="G225" i="1"/>
  <c r="G226" i="1"/>
  <c r="G227" i="1"/>
  <c r="G228" i="1"/>
  <c r="G27" i="1"/>
  <c r="G89" i="1"/>
  <c r="G90" i="1"/>
  <c r="G91" i="1"/>
  <c r="G94" i="1"/>
  <c r="G95" i="1"/>
  <c r="G96" i="1"/>
  <c r="G97" i="1"/>
  <c r="G98" i="1"/>
  <c r="G99" i="1"/>
  <c r="G100" i="1"/>
  <c r="G101" i="1"/>
  <c r="G103" i="1"/>
  <c r="G104" i="1"/>
  <c r="G102" i="1" s="1"/>
  <c r="G105" i="1"/>
  <c r="G108" i="1"/>
  <c r="G109" i="1"/>
  <c r="G110" i="1"/>
  <c r="G111" i="1"/>
  <c r="G113" i="1"/>
  <c r="G114" i="1"/>
  <c r="G116" i="1"/>
  <c r="G115" i="1" s="1"/>
  <c r="G119" i="1"/>
  <c r="G120" i="1"/>
  <c r="G121" i="1"/>
  <c r="G123" i="1"/>
  <c r="G124" i="1"/>
  <c r="G125" i="1"/>
  <c r="G126" i="1"/>
  <c r="G128" i="1"/>
  <c r="G130" i="1"/>
  <c r="G131" i="1"/>
  <c r="J131" i="1"/>
  <c r="M131" i="1" s="1"/>
  <c r="G132" i="1"/>
  <c r="G133" i="1"/>
  <c r="G135" i="1"/>
  <c r="G136" i="1"/>
  <c r="G137" i="1"/>
  <c r="G138" i="1"/>
  <c r="G139" i="1"/>
  <c r="G140" i="1"/>
  <c r="G141" i="1"/>
  <c r="G142" i="1"/>
  <c r="G143" i="1"/>
  <c r="G144" i="1"/>
  <c r="G145" i="1"/>
  <c r="G146" i="1"/>
  <c r="G147" i="1"/>
  <c r="G148" i="1"/>
  <c r="G150" i="1"/>
  <c r="G149" i="1" s="1"/>
  <c r="G152" i="1"/>
  <c r="G153" i="1"/>
  <c r="G154" i="1"/>
  <c r="G155" i="1"/>
  <c r="G156" i="1"/>
  <c r="G157" i="1"/>
  <c r="G158" i="1"/>
  <c r="G159" i="1"/>
  <c r="G160" i="1"/>
  <c r="G162" i="1"/>
  <c r="G161" i="1" s="1"/>
  <c r="G164" i="1"/>
  <c r="G165" i="1"/>
  <c r="G166" i="1"/>
  <c r="G167" i="1"/>
  <c r="G168" i="1"/>
  <c r="G169" i="1"/>
  <c r="G170" i="1"/>
  <c r="G171" i="1"/>
  <c r="G231" i="1"/>
  <c r="G232" i="1"/>
  <c r="G233" i="1"/>
  <c r="G234" i="1"/>
  <c r="G235" i="1"/>
  <c r="G237" i="1"/>
  <c r="G238" i="1"/>
  <c r="G239" i="1"/>
  <c r="G240" i="1"/>
  <c r="G241" i="1"/>
  <c r="G242" i="1"/>
  <c r="G243" i="1"/>
  <c r="G244" i="1"/>
  <c r="G245" i="1"/>
  <c r="G246" i="1"/>
  <c r="G247" i="1"/>
  <c r="G248" i="1"/>
  <c r="G249" i="1"/>
  <c r="G250" i="1"/>
  <c r="G251" i="1"/>
  <c r="G252"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4" i="1"/>
  <c r="G285" i="1"/>
  <c r="G286" i="1"/>
  <c r="G287" i="1"/>
  <c r="G288" i="1"/>
  <c r="G289" i="1"/>
  <c r="G290" i="1"/>
  <c r="G292" i="1"/>
  <c r="G293" i="1"/>
  <c r="G294" i="1"/>
  <c r="G295" i="1"/>
  <c r="G296" i="1"/>
  <c r="G297" i="1"/>
  <c r="G298" i="1"/>
  <c r="G299" i="1"/>
  <c r="G300" i="1"/>
  <c r="G301" i="1"/>
  <c r="G302" i="1"/>
  <c r="G304" i="1"/>
  <c r="G305" i="1"/>
  <c r="G306" i="1"/>
  <c r="G307" i="1"/>
  <c r="G308" i="1"/>
  <c r="G309" i="1"/>
  <c r="G310" i="1"/>
  <c r="G311" i="1"/>
  <c r="G312" i="1"/>
  <c r="G313" i="1"/>
  <c r="G314" i="1"/>
  <c r="G316" i="1"/>
  <c r="G317" i="1"/>
  <c r="G318" i="1"/>
  <c r="G319" i="1"/>
  <c r="G320" i="1"/>
  <c r="G321" i="1"/>
  <c r="G322" i="1"/>
  <c r="G323" i="1"/>
  <c r="G324" i="1"/>
  <c r="G326" i="1"/>
  <c r="G327" i="1"/>
  <c r="G328" i="1"/>
  <c r="G329" i="1"/>
  <c r="G330" i="1"/>
  <c r="G331" i="1"/>
  <c r="G332" i="1"/>
  <c r="G333" i="1"/>
  <c r="G334" i="1"/>
  <c r="G335" i="1"/>
  <c r="G336" i="1"/>
  <c r="G337" i="1"/>
  <c r="G338" i="1"/>
  <c r="G339" i="1"/>
  <c r="G341" i="1"/>
  <c r="G342" i="1"/>
  <c r="G343" i="1"/>
  <c r="G344" i="1"/>
  <c r="G346" i="1"/>
  <c r="G347" i="1"/>
  <c r="G348" i="1"/>
  <c r="G349" i="1"/>
  <c r="G350" i="1"/>
  <c r="G351" i="1"/>
  <c r="G352" i="1"/>
  <c r="G353" i="1"/>
  <c r="G354" i="1"/>
  <c r="G355" i="1"/>
  <c r="G356" i="1"/>
  <c r="G357" i="1"/>
  <c r="G358" i="1"/>
  <c r="G359" i="1"/>
  <c r="G360" i="1"/>
  <c r="G361" i="1"/>
  <c r="G362" i="1"/>
  <c r="G363" i="1"/>
  <c r="G364" i="1"/>
  <c r="G366" i="1"/>
  <c r="G367" i="1"/>
  <c r="G368" i="1"/>
  <c r="G369" i="1"/>
  <c r="G371" i="1"/>
  <c r="G372" i="1"/>
  <c r="G373" i="1"/>
  <c r="G370" i="1" s="1"/>
  <c r="G376" i="1"/>
  <c r="G377" i="1"/>
  <c r="G378" i="1"/>
  <c r="G379" i="1"/>
  <c r="G380" i="1"/>
  <c r="G381" i="1"/>
  <c r="G434" i="1"/>
  <c r="G433" i="1" s="1"/>
  <c r="G84" i="1"/>
  <c r="M84" i="1"/>
  <c r="G85" i="1"/>
  <c r="G87" i="1"/>
  <c r="L43" i="1"/>
  <c r="K42" i="1"/>
  <c r="K38" i="1"/>
  <c r="J31" i="1"/>
  <c r="M31" i="1"/>
  <c r="J32" i="1"/>
  <c r="M32" i="1" s="1"/>
  <c r="J395" i="1"/>
  <c r="M395" i="1" s="1"/>
  <c r="J384" i="1"/>
  <c r="M384" i="1" s="1"/>
  <c r="J391" i="1"/>
  <c r="M391" i="1" s="1"/>
  <c r="N391" i="1" s="1"/>
  <c r="L395" i="1"/>
  <c r="L384" i="1"/>
  <c r="L391" i="1"/>
  <c r="K384" i="1"/>
  <c r="K391" i="1"/>
  <c r="K397" i="1"/>
  <c r="K398" i="1"/>
  <c r="K399" i="1"/>
  <c r="K400" i="1"/>
  <c r="K403" i="1"/>
  <c r="J404" i="1"/>
  <c r="M404" i="1" s="1"/>
  <c r="J401" i="1"/>
  <c r="J402" i="1"/>
  <c r="J397" i="1"/>
  <c r="M397" i="1" s="1"/>
  <c r="J398" i="1"/>
  <c r="M398" i="1" s="1"/>
  <c r="N398" i="1" s="1"/>
  <c r="J399" i="1"/>
  <c r="M399" i="1" s="1"/>
  <c r="N399" i="1" s="1"/>
  <c r="J400" i="1"/>
  <c r="M400" i="1" s="1"/>
  <c r="J403" i="1"/>
  <c r="M403" i="1" s="1"/>
  <c r="N403" i="1" s="1"/>
  <c r="L404" i="1"/>
  <c r="L397" i="1"/>
  <c r="L398" i="1"/>
  <c r="L399" i="1"/>
  <c r="L400" i="1"/>
  <c r="L403" i="1"/>
  <c r="L75" i="1"/>
  <c r="L79" i="1"/>
  <c r="L80" i="1"/>
  <c r="L81" i="1"/>
  <c r="L70" i="1"/>
  <c r="L71" i="1"/>
  <c r="L72" i="1"/>
  <c r="L73" i="1"/>
  <c r="L74" i="1"/>
  <c r="L76" i="1"/>
  <c r="L77" i="1"/>
  <c r="L78" i="1"/>
  <c r="L65" i="1"/>
  <c r="J75" i="1"/>
  <c r="M75" i="1" s="1"/>
  <c r="J79" i="1"/>
  <c r="M79" i="1" s="1"/>
  <c r="J80" i="1"/>
  <c r="M80" i="1" s="1"/>
  <c r="N80" i="1" s="1"/>
  <c r="J81" i="1"/>
  <c r="M81" i="1"/>
  <c r="J70" i="1"/>
  <c r="M70" i="1" s="1"/>
  <c r="J71" i="1"/>
  <c r="M71" i="1" s="1"/>
  <c r="J72" i="1"/>
  <c r="M72" i="1" s="1"/>
  <c r="J73" i="1"/>
  <c r="M73" i="1" s="1"/>
  <c r="J67" i="1"/>
  <c r="J68" i="1"/>
  <c r="J69" i="1"/>
  <c r="J74" i="1"/>
  <c r="M74" i="1" s="1"/>
  <c r="J76" i="1"/>
  <c r="M76" i="1" s="1"/>
  <c r="N76" i="1" s="1"/>
  <c r="J77" i="1"/>
  <c r="M77" i="1" s="1"/>
  <c r="N77" i="1" s="1"/>
  <c r="J78" i="1"/>
  <c r="M78" i="1" s="1"/>
  <c r="N78" i="1" s="1"/>
  <c r="J65" i="1"/>
  <c r="M65" i="1" s="1"/>
  <c r="N65" i="1" s="1"/>
  <c r="K76" i="1"/>
  <c r="K77" i="1"/>
  <c r="K78" i="1"/>
  <c r="K74" i="1"/>
  <c r="K65" i="1"/>
  <c r="M43" i="1"/>
  <c r="J44" i="1"/>
  <c r="M44" i="1" s="1"/>
  <c r="L44" i="1"/>
  <c r="K46" i="1"/>
  <c r="K45" i="1"/>
  <c r="K44" i="1"/>
  <c r="K43" i="1"/>
  <c r="G428" i="1"/>
  <c r="G429" i="1"/>
  <c r="G430" i="1"/>
  <c r="G431" i="1"/>
  <c r="G432" i="1"/>
  <c r="K395" i="1"/>
  <c r="G395" i="1"/>
  <c r="G390" i="1"/>
  <c r="G129" i="1"/>
  <c r="G81" i="1"/>
  <c r="G79" i="1"/>
  <c r="G63" i="1"/>
  <c r="G57" i="1"/>
  <c r="G51" i="1"/>
  <c r="G49" i="1"/>
  <c r="G46" i="1"/>
  <c r="G43" i="1"/>
  <c r="G42" i="1"/>
  <c r="G28" i="1"/>
  <c r="G26" i="1" s="1"/>
  <c r="K404" i="1"/>
  <c r="K405" i="1"/>
  <c r="K406" i="1"/>
  <c r="G404" i="1"/>
  <c r="G405" i="1"/>
  <c r="G406" i="1"/>
  <c r="J385" i="1"/>
  <c r="M385" i="1" s="1"/>
  <c r="J386" i="1"/>
  <c r="M386" i="1" s="1"/>
  <c r="J387" i="1"/>
  <c r="M387" i="1" s="1"/>
  <c r="J388" i="1"/>
  <c r="M388" i="1" s="1"/>
  <c r="J389" i="1"/>
  <c r="M389" i="1" s="1"/>
  <c r="J390" i="1"/>
  <c r="M390" i="1" s="1"/>
  <c r="N390" i="1" s="1"/>
  <c r="J392" i="1"/>
  <c r="M392" i="1" s="1"/>
  <c r="J393" i="1"/>
  <c r="M393" i="1" s="1"/>
  <c r="J394" i="1"/>
  <c r="M394" i="1" s="1"/>
  <c r="K385" i="1"/>
  <c r="K386" i="1"/>
  <c r="K387" i="1"/>
  <c r="K389" i="1"/>
  <c r="K392" i="1"/>
  <c r="K393" i="1"/>
  <c r="K394" i="1"/>
  <c r="G385" i="1"/>
  <c r="G386" i="1"/>
  <c r="G387" i="1"/>
  <c r="G388" i="1"/>
  <c r="G389" i="1"/>
  <c r="G392" i="1"/>
  <c r="G393" i="1"/>
  <c r="G394" i="1"/>
  <c r="G34" i="1"/>
  <c r="G19" i="1"/>
  <c r="G20" i="1"/>
  <c r="G21" i="1"/>
  <c r="G22" i="1"/>
  <c r="G23" i="1"/>
  <c r="G24" i="1"/>
  <c r="G25" i="1"/>
  <c r="G70" i="1"/>
  <c r="G71" i="1"/>
  <c r="G72" i="1"/>
  <c r="G73" i="1"/>
  <c r="G75" i="1"/>
  <c r="K70" i="1"/>
  <c r="K71" i="1"/>
  <c r="K72" i="1"/>
  <c r="K73" i="1"/>
  <c r="K75" i="1"/>
  <c r="K79" i="1"/>
  <c r="K80" i="1"/>
  <c r="K81" i="1"/>
  <c r="K62" i="1"/>
  <c r="K63" i="1"/>
  <c r="G44" i="1"/>
  <c r="E45" i="1"/>
  <c r="E42" i="1"/>
  <c r="G45" i="1"/>
  <c r="E37" i="1"/>
  <c r="J37" i="1"/>
  <c r="E434" i="1"/>
  <c r="E432" i="1"/>
  <c r="E431" i="1"/>
  <c r="J430" i="1"/>
  <c r="M430" i="1" s="1"/>
  <c r="N430" i="1" s="1"/>
  <c r="E430" i="1"/>
  <c r="E429" i="1"/>
  <c r="J428" i="1"/>
  <c r="E428" i="1"/>
  <c r="J426" i="1"/>
  <c r="M426" i="1" s="1"/>
  <c r="N426" i="1" s="1"/>
  <c r="E426" i="1"/>
  <c r="E425" i="1"/>
  <c r="E423" i="1"/>
  <c r="J422" i="1"/>
  <c r="M422" i="1" s="1"/>
  <c r="N422" i="1" s="1"/>
  <c r="E422" i="1"/>
  <c r="E421" i="1"/>
  <c r="J420" i="1"/>
  <c r="M420" i="1" s="1"/>
  <c r="N420" i="1" s="1"/>
  <c r="E420" i="1"/>
  <c r="E419" i="1"/>
  <c r="J418" i="1"/>
  <c r="E418" i="1"/>
  <c r="E417" i="1"/>
  <c r="J416" i="1"/>
  <c r="E416" i="1"/>
  <c r="E415" i="1"/>
  <c r="J414" i="1"/>
  <c r="M414" i="1" s="1"/>
  <c r="N414" i="1" s="1"/>
  <c r="E414" i="1"/>
  <c r="E413" i="1"/>
  <c r="E411" i="1"/>
  <c r="J410" i="1"/>
  <c r="M410" i="1" s="1"/>
  <c r="E410" i="1"/>
  <c r="E409" i="1"/>
  <c r="J408" i="1"/>
  <c r="M408" i="1" s="1"/>
  <c r="N408" i="1" s="1"/>
  <c r="E408" i="1"/>
  <c r="E403" i="1"/>
  <c r="E402" i="1"/>
  <c r="E401" i="1"/>
  <c r="E400" i="1"/>
  <c r="E399" i="1"/>
  <c r="E398" i="1"/>
  <c r="E397" i="1"/>
  <c r="E394" i="1"/>
  <c r="E393" i="1"/>
  <c r="E392" i="1"/>
  <c r="E391" i="1"/>
  <c r="E390" i="1"/>
  <c r="E389" i="1"/>
  <c r="E388" i="1"/>
  <c r="E387" i="1"/>
  <c r="E386" i="1"/>
  <c r="E385" i="1"/>
  <c r="E384" i="1"/>
  <c r="E381" i="1"/>
  <c r="J380" i="1"/>
  <c r="M380" i="1" s="1"/>
  <c r="N380" i="1" s="1"/>
  <c r="E380" i="1"/>
  <c r="E379" i="1"/>
  <c r="J378" i="1"/>
  <c r="M378" i="1" s="1"/>
  <c r="N378" i="1" s="1"/>
  <c r="E378" i="1"/>
  <c r="E377" i="1"/>
  <c r="J376" i="1"/>
  <c r="M376" i="1" s="1"/>
  <c r="N376" i="1" s="1"/>
  <c r="E376" i="1"/>
  <c r="E373" i="1"/>
  <c r="J372" i="1"/>
  <c r="M372" i="1" s="1"/>
  <c r="N372" i="1" s="1"/>
  <c r="E372" i="1"/>
  <c r="E371" i="1"/>
  <c r="E369" i="1"/>
  <c r="J368" i="1"/>
  <c r="M368" i="1" s="1"/>
  <c r="E368" i="1"/>
  <c r="E367" i="1"/>
  <c r="J366" i="1"/>
  <c r="M366" i="1" s="1"/>
  <c r="N366" i="1" s="1"/>
  <c r="E366" i="1"/>
  <c r="J364" i="1"/>
  <c r="M364" i="1" s="1"/>
  <c r="N364" i="1" s="1"/>
  <c r="E364" i="1"/>
  <c r="E363" i="1"/>
  <c r="J362" i="1"/>
  <c r="M362" i="1" s="1"/>
  <c r="N362" i="1" s="1"/>
  <c r="E362" i="1"/>
  <c r="E361" i="1"/>
  <c r="J360" i="1"/>
  <c r="M360" i="1" s="1"/>
  <c r="N360" i="1" s="1"/>
  <c r="E360" i="1"/>
  <c r="E359" i="1"/>
  <c r="J358" i="1"/>
  <c r="M358" i="1" s="1"/>
  <c r="N358" i="1" s="1"/>
  <c r="E358" i="1"/>
  <c r="E357" i="1"/>
  <c r="J356" i="1"/>
  <c r="M356" i="1" s="1"/>
  <c r="N356" i="1" s="1"/>
  <c r="E356" i="1"/>
  <c r="E355" i="1"/>
  <c r="J354" i="1"/>
  <c r="M354" i="1" s="1"/>
  <c r="N354" i="1" s="1"/>
  <c r="E354" i="1"/>
  <c r="E353" i="1"/>
  <c r="J352" i="1"/>
  <c r="M352" i="1" s="1"/>
  <c r="N352" i="1" s="1"/>
  <c r="E352" i="1"/>
  <c r="E351" i="1"/>
  <c r="J350" i="1"/>
  <c r="M350" i="1" s="1"/>
  <c r="N350" i="1" s="1"/>
  <c r="E350" i="1"/>
  <c r="J349" i="1"/>
  <c r="M349" i="1" s="1"/>
  <c r="E349" i="1"/>
  <c r="E348" i="1"/>
  <c r="J347" i="1"/>
  <c r="M347" i="1" s="1"/>
  <c r="E347" i="1"/>
  <c r="E346" i="1"/>
  <c r="E344" i="1"/>
  <c r="J343" i="1"/>
  <c r="M343" i="1" s="1"/>
  <c r="N343" i="1" s="1"/>
  <c r="E343" i="1"/>
  <c r="E342" i="1"/>
  <c r="J341" i="1"/>
  <c r="M341" i="1" s="1"/>
  <c r="N341" i="1" s="1"/>
  <c r="E341" i="1"/>
  <c r="J339" i="1"/>
  <c r="M339" i="1" s="1"/>
  <c r="E339" i="1"/>
  <c r="E338" i="1"/>
  <c r="J337" i="1"/>
  <c r="M337" i="1" s="1"/>
  <c r="E337" i="1"/>
  <c r="E336" i="1"/>
  <c r="J335" i="1"/>
  <c r="M335" i="1" s="1"/>
  <c r="E335" i="1"/>
  <c r="E334" i="1"/>
  <c r="J333" i="1"/>
  <c r="E333" i="1"/>
  <c r="E332" i="1"/>
  <c r="J331" i="1"/>
  <c r="M331" i="1" s="1"/>
  <c r="E331" i="1"/>
  <c r="E330" i="1"/>
  <c r="J329" i="1"/>
  <c r="M329" i="1" s="1"/>
  <c r="E329" i="1"/>
  <c r="E328" i="1"/>
  <c r="J327" i="1"/>
  <c r="M327" i="1" s="1"/>
  <c r="E327" i="1"/>
  <c r="E326" i="1"/>
  <c r="E324" i="1"/>
  <c r="J323" i="1"/>
  <c r="M323" i="1" s="1"/>
  <c r="E323" i="1"/>
  <c r="E322" i="1"/>
  <c r="J321" i="1"/>
  <c r="M321" i="1" s="1"/>
  <c r="N321" i="1" s="1"/>
  <c r="E321" i="1"/>
  <c r="E320" i="1"/>
  <c r="J319" i="1"/>
  <c r="M319" i="1" s="1"/>
  <c r="N319" i="1" s="1"/>
  <c r="E319" i="1"/>
  <c r="E318" i="1"/>
  <c r="J317" i="1"/>
  <c r="M317" i="1" s="1"/>
  <c r="N317" i="1" s="1"/>
  <c r="E317" i="1"/>
  <c r="E316" i="1"/>
  <c r="E314" i="1"/>
  <c r="J313" i="1"/>
  <c r="M313" i="1" s="1"/>
  <c r="N313" i="1" s="1"/>
  <c r="E313" i="1"/>
  <c r="E312" i="1"/>
  <c r="E311" i="1"/>
  <c r="J310" i="1"/>
  <c r="M310" i="1" s="1"/>
  <c r="N310" i="1" s="1"/>
  <c r="E310" i="1"/>
  <c r="E309" i="1"/>
  <c r="J308" i="1"/>
  <c r="M308" i="1" s="1"/>
  <c r="N308" i="1" s="1"/>
  <c r="E308" i="1"/>
  <c r="E307" i="1"/>
  <c r="J306" i="1"/>
  <c r="M306" i="1" s="1"/>
  <c r="N306" i="1" s="1"/>
  <c r="E306" i="1"/>
  <c r="E305" i="1"/>
  <c r="J304" i="1"/>
  <c r="M304" i="1" s="1"/>
  <c r="E304" i="1"/>
  <c r="J302" i="1"/>
  <c r="M302" i="1" s="1"/>
  <c r="E302" i="1"/>
  <c r="E301" i="1"/>
  <c r="J300" i="1"/>
  <c r="M300" i="1" s="1"/>
  <c r="N300" i="1" s="1"/>
  <c r="E300" i="1"/>
  <c r="E299" i="1"/>
  <c r="J298" i="1"/>
  <c r="M298" i="1" s="1"/>
  <c r="E298" i="1"/>
  <c r="E297" i="1"/>
  <c r="J296" i="1"/>
  <c r="M296" i="1" s="1"/>
  <c r="N296" i="1" s="1"/>
  <c r="E296" i="1"/>
  <c r="E295" i="1"/>
  <c r="J294" i="1"/>
  <c r="M294" i="1" s="1"/>
  <c r="E294" i="1"/>
  <c r="E293" i="1"/>
  <c r="J292" i="1"/>
  <c r="M292" i="1" s="1"/>
  <c r="E292" i="1"/>
  <c r="J290" i="1"/>
  <c r="M290" i="1" s="1"/>
  <c r="N290" i="1" s="1"/>
  <c r="E290" i="1"/>
  <c r="E289" i="1"/>
  <c r="J288" i="1"/>
  <c r="M288" i="1" s="1"/>
  <c r="N288" i="1" s="1"/>
  <c r="E288" i="1"/>
  <c r="E287" i="1"/>
  <c r="J286" i="1"/>
  <c r="M286" i="1" s="1"/>
  <c r="N286" i="1" s="1"/>
  <c r="E286" i="1"/>
  <c r="E285" i="1"/>
  <c r="J284" i="1"/>
  <c r="E284" i="1"/>
  <c r="J282" i="1"/>
  <c r="M282" i="1" s="1"/>
  <c r="N282" i="1" s="1"/>
  <c r="E282" i="1"/>
  <c r="E281" i="1"/>
  <c r="J280" i="1"/>
  <c r="E280" i="1"/>
  <c r="E279" i="1"/>
  <c r="J278" i="1"/>
  <c r="M278" i="1" s="1"/>
  <c r="N278" i="1" s="1"/>
  <c r="E278" i="1"/>
  <c r="E277" i="1"/>
  <c r="J276" i="1"/>
  <c r="M276" i="1" s="1"/>
  <c r="E276" i="1"/>
  <c r="E275" i="1"/>
  <c r="J274" i="1"/>
  <c r="M274" i="1" s="1"/>
  <c r="N274" i="1" s="1"/>
  <c r="E274" i="1"/>
  <c r="E273" i="1"/>
  <c r="E272" i="1"/>
  <c r="E271" i="1"/>
  <c r="E270" i="1"/>
  <c r="E269" i="1"/>
  <c r="J268" i="1"/>
  <c r="E268" i="1"/>
  <c r="E267" i="1"/>
  <c r="J266" i="1"/>
  <c r="M266" i="1" s="1"/>
  <c r="N266" i="1" s="1"/>
  <c r="E266" i="1"/>
  <c r="E265" i="1"/>
  <c r="E264" i="1"/>
  <c r="E263" i="1"/>
  <c r="E262" i="1"/>
  <c r="E261" i="1"/>
  <c r="J260" i="1"/>
  <c r="M260" i="1" s="1"/>
  <c r="E260" i="1"/>
  <c r="E259" i="1"/>
  <c r="J258" i="1"/>
  <c r="M258" i="1" s="1"/>
  <c r="N258" i="1" s="1"/>
  <c r="E258" i="1"/>
  <c r="E257" i="1"/>
  <c r="E256" i="1"/>
  <c r="E255" i="1"/>
  <c r="E254" i="1"/>
  <c r="J252" i="1"/>
  <c r="M252" i="1" s="1"/>
  <c r="N252" i="1" s="1"/>
  <c r="E252" i="1"/>
  <c r="E251" i="1"/>
  <c r="J250" i="1"/>
  <c r="M250" i="1" s="1"/>
  <c r="N250" i="1" s="1"/>
  <c r="E250" i="1"/>
  <c r="E249" i="1"/>
  <c r="J248" i="1"/>
  <c r="M248" i="1" s="1"/>
  <c r="N248" i="1" s="1"/>
  <c r="E248" i="1"/>
  <c r="E247" i="1"/>
  <c r="J246" i="1"/>
  <c r="M246" i="1" s="1"/>
  <c r="N246" i="1" s="1"/>
  <c r="E246" i="1"/>
  <c r="E245" i="1"/>
  <c r="J244" i="1"/>
  <c r="M244" i="1" s="1"/>
  <c r="E244" i="1"/>
  <c r="E243" i="1"/>
  <c r="J242" i="1"/>
  <c r="M242" i="1" s="1"/>
  <c r="N242" i="1" s="1"/>
  <c r="E242" i="1"/>
  <c r="E241" i="1"/>
  <c r="J240" i="1"/>
  <c r="M240" i="1" s="1"/>
  <c r="N240" i="1" s="1"/>
  <c r="E240" i="1"/>
  <c r="J239" i="1"/>
  <c r="M239" i="1" s="1"/>
  <c r="E239" i="1"/>
  <c r="E238" i="1"/>
  <c r="J237" i="1"/>
  <c r="M237" i="1" s="1"/>
  <c r="E237" i="1"/>
  <c r="J235" i="1"/>
  <c r="E235" i="1"/>
  <c r="E234" i="1"/>
  <c r="J233" i="1"/>
  <c r="M233" i="1" s="1"/>
  <c r="N233" i="1" s="1"/>
  <c r="E233" i="1"/>
  <c r="E232" i="1"/>
  <c r="J231" i="1"/>
  <c r="M231" i="1" s="1"/>
  <c r="E231" i="1"/>
  <c r="E228" i="1"/>
  <c r="J227" i="1"/>
  <c r="M227" i="1" s="1"/>
  <c r="N227" i="1" s="1"/>
  <c r="E227" i="1"/>
  <c r="E226" i="1"/>
  <c r="J225" i="1"/>
  <c r="M225" i="1" s="1"/>
  <c r="N225" i="1" s="1"/>
  <c r="E225" i="1"/>
  <c r="E224" i="1"/>
  <c r="E222" i="1"/>
  <c r="J221" i="1"/>
  <c r="M221" i="1" s="1"/>
  <c r="N221" i="1" s="1"/>
  <c r="E221" i="1"/>
  <c r="E220" i="1"/>
  <c r="J219" i="1"/>
  <c r="M219" i="1" s="1"/>
  <c r="E219" i="1"/>
  <c r="E218" i="1"/>
  <c r="J217" i="1"/>
  <c r="M217" i="1" s="1"/>
  <c r="N217" i="1" s="1"/>
  <c r="E217" i="1"/>
  <c r="E216" i="1"/>
  <c r="J215" i="1"/>
  <c r="M215" i="1" s="1"/>
  <c r="N215" i="1" s="1"/>
  <c r="E215" i="1"/>
  <c r="E214" i="1"/>
  <c r="J213" i="1"/>
  <c r="M213" i="1" s="1"/>
  <c r="N213" i="1" s="1"/>
  <c r="E213" i="1"/>
  <c r="E212" i="1"/>
  <c r="J211" i="1"/>
  <c r="M211" i="1" s="1"/>
  <c r="E211" i="1"/>
  <c r="E210" i="1"/>
  <c r="E208" i="1"/>
  <c r="J207" i="1"/>
  <c r="M207" i="1" s="1"/>
  <c r="N207" i="1" s="1"/>
  <c r="E207" i="1"/>
  <c r="E206" i="1"/>
  <c r="J205" i="1"/>
  <c r="M205" i="1" s="1"/>
  <c r="N205" i="1" s="1"/>
  <c r="E205" i="1"/>
  <c r="E204" i="1"/>
  <c r="E203" i="1"/>
  <c r="E202" i="1"/>
  <c r="E200" i="1"/>
  <c r="J199" i="1"/>
  <c r="E199" i="1"/>
  <c r="E198" i="1"/>
  <c r="J197" i="1"/>
  <c r="M197" i="1" s="1"/>
  <c r="N197" i="1" s="1"/>
  <c r="E197" i="1"/>
  <c r="E196" i="1"/>
  <c r="J195" i="1"/>
  <c r="M195" i="1" s="1"/>
  <c r="N195" i="1" s="1"/>
  <c r="E195" i="1"/>
  <c r="E194" i="1"/>
  <c r="E193" i="1"/>
  <c r="E192" i="1"/>
  <c r="J191" i="1"/>
  <c r="M191" i="1" s="1"/>
  <c r="N191" i="1" s="1"/>
  <c r="E191" i="1"/>
  <c r="E190" i="1"/>
  <c r="J189" i="1"/>
  <c r="M189" i="1" s="1"/>
  <c r="E189" i="1"/>
  <c r="E188" i="1"/>
  <c r="J187" i="1"/>
  <c r="M187" i="1" s="1"/>
  <c r="N187" i="1" s="1"/>
  <c r="E187" i="1"/>
  <c r="E186" i="1"/>
  <c r="E185" i="1"/>
  <c r="E184" i="1"/>
  <c r="J183" i="1"/>
  <c r="M183" i="1" s="1"/>
  <c r="N183" i="1" s="1"/>
  <c r="E183" i="1"/>
  <c r="E182" i="1"/>
  <c r="J181" i="1"/>
  <c r="M181" i="1" s="1"/>
  <c r="E181" i="1"/>
  <c r="E180" i="1"/>
  <c r="J179" i="1"/>
  <c r="M179" i="1" s="1"/>
  <c r="E179" i="1"/>
  <c r="E178" i="1"/>
  <c r="J177" i="1"/>
  <c r="M177" i="1" s="1"/>
  <c r="E177" i="1"/>
  <c r="E176" i="1"/>
  <c r="J175" i="1"/>
  <c r="M175" i="1" s="1"/>
  <c r="N175" i="1" s="1"/>
  <c r="E175" i="1"/>
  <c r="E174" i="1"/>
  <c r="E171" i="1"/>
  <c r="E170" i="1"/>
  <c r="E169" i="1"/>
  <c r="E168" i="1"/>
  <c r="J167" i="1"/>
  <c r="E167" i="1"/>
  <c r="E166" i="1"/>
  <c r="J165" i="1"/>
  <c r="M165" i="1" s="1"/>
  <c r="N165" i="1" s="1"/>
  <c r="E165" i="1"/>
  <c r="J164" i="1"/>
  <c r="M164" i="1" s="1"/>
  <c r="E164" i="1"/>
  <c r="J162" i="1"/>
  <c r="M162" i="1" s="1"/>
  <c r="E162" i="1"/>
  <c r="E160" i="1"/>
  <c r="J159" i="1"/>
  <c r="M159" i="1" s="1"/>
  <c r="N159" i="1" s="1"/>
  <c r="E159" i="1"/>
  <c r="E158" i="1"/>
  <c r="J157" i="1"/>
  <c r="M157" i="1" s="1"/>
  <c r="E157" i="1"/>
  <c r="E156" i="1"/>
  <c r="J155" i="1"/>
  <c r="M155" i="1" s="1"/>
  <c r="N155" i="1" s="1"/>
  <c r="E155" i="1"/>
  <c r="E154" i="1"/>
  <c r="J153" i="1"/>
  <c r="M153" i="1" s="1"/>
  <c r="E153" i="1"/>
  <c r="E152" i="1"/>
  <c r="E150" i="1"/>
  <c r="E148" i="1"/>
  <c r="J147" i="1"/>
  <c r="E147" i="1"/>
  <c r="E146" i="1"/>
  <c r="J145" i="1"/>
  <c r="M145" i="1" s="1"/>
  <c r="N145" i="1" s="1"/>
  <c r="E145" i="1"/>
  <c r="E144" i="1"/>
  <c r="J143" i="1"/>
  <c r="M143" i="1" s="1"/>
  <c r="N143" i="1" s="1"/>
  <c r="E143" i="1"/>
  <c r="E142" i="1"/>
  <c r="J141" i="1"/>
  <c r="M141" i="1" s="1"/>
  <c r="N141" i="1" s="1"/>
  <c r="E141" i="1"/>
  <c r="E140" i="1"/>
  <c r="J139" i="1"/>
  <c r="E139" i="1"/>
  <c r="E138" i="1"/>
  <c r="J137" i="1"/>
  <c r="M137" i="1" s="1"/>
  <c r="N137" i="1" s="1"/>
  <c r="E137" i="1"/>
  <c r="E136" i="1"/>
  <c r="J135" i="1"/>
  <c r="M135" i="1" s="1"/>
  <c r="N135" i="1" s="1"/>
  <c r="E135" i="1"/>
  <c r="J133" i="1"/>
  <c r="M133" i="1" s="1"/>
  <c r="E133" i="1"/>
  <c r="E132" i="1"/>
  <c r="E131" i="1"/>
  <c r="E130" i="1"/>
  <c r="J129" i="1"/>
  <c r="M129" i="1" s="1"/>
  <c r="E129" i="1"/>
  <c r="E128" i="1"/>
  <c r="E126" i="1"/>
  <c r="J125" i="1"/>
  <c r="M125" i="1" s="1"/>
  <c r="E125" i="1"/>
  <c r="E124" i="1"/>
  <c r="J123" i="1"/>
  <c r="M123" i="1" s="1"/>
  <c r="E123" i="1"/>
  <c r="J121" i="1"/>
  <c r="M121" i="1" s="1"/>
  <c r="E121" i="1"/>
  <c r="E120" i="1"/>
  <c r="J119" i="1"/>
  <c r="M119" i="1" s="1"/>
  <c r="N119" i="1" s="1"/>
  <c r="E119" i="1"/>
  <c r="E116" i="1"/>
  <c r="E114" i="1"/>
  <c r="E113" i="1"/>
  <c r="J111" i="1"/>
  <c r="M111" i="1" s="1"/>
  <c r="N111" i="1" s="1"/>
  <c r="E111" i="1"/>
  <c r="E110" i="1"/>
  <c r="E109" i="1"/>
  <c r="E108" i="1"/>
  <c r="J105" i="1"/>
  <c r="M105" i="1" s="1"/>
  <c r="N105" i="1" s="1"/>
  <c r="E105" i="1"/>
  <c r="E104" i="1"/>
  <c r="J103" i="1"/>
  <c r="M103" i="1" s="1"/>
  <c r="N103" i="1" s="1"/>
  <c r="E103" i="1"/>
  <c r="J101" i="1"/>
  <c r="M101" i="1" s="1"/>
  <c r="E101" i="1"/>
  <c r="E100" i="1"/>
  <c r="J99" i="1"/>
  <c r="M99" i="1" s="1"/>
  <c r="N99" i="1" s="1"/>
  <c r="E99" i="1"/>
  <c r="E98" i="1"/>
  <c r="J97" i="1"/>
  <c r="M97" i="1" s="1"/>
  <c r="E97" i="1"/>
  <c r="E96" i="1"/>
  <c r="J95" i="1"/>
  <c r="M95" i="1" s="1"/>
  <c r="N95" i="1" s="1"/>
  <c r="E95" i="1"/>
  <c r="E94" i="1"/>
  <c r="J91" i="1"/>
  <c r="M91" i="1" s="1"/>
  <c r="E91" i="1"/>
  <c r="E90" i="1"/>
  <c r="J89" i="1"/>
  <c r="M89" i="1" s="1"/>
  <c r="N89" i="1" s="1"/>
  <c r="E89" i="1"/>
  <c r="J87" i="1"/>
  <c r="E87" i="1"/>
  <c r="E86" i="1"/>
  <c r="E85" i="1"/>
  <c r="E84" i="1"/>
  <c r="G83" i="1"/>
  <c r="E83" i="1"/>
  <c r="E69" i="1"/>
  <c r="E68" i="1"/>
  <c r="E67" i="1"/>
  <c r="G66" i="1"/>
  <c r="E66" i="1"/>
  <c r="E65" i="1"/>
  <c r="G61" i="1"/>
  <c r="E61" i="1"/>
  <c r="G60" i="1"/>
  <c r="E60" i="1"/>
  <c r="J59" i="1"/>
  <c r="M59" i="1" s="1"/>
  <c r="G59" i="1"/>
  <c r="E59" i="1"/>
  <c r="E58" i="1"/>
  <c r="E57" i="1"/>
  <c r="E56" i="1"/>
  <c r="G55" i="1"/>
  <c r="E55" i="1"/>
  <c r="G54" i="1"/>
  <c r="E54" i="1"/>
  <c r="E53" i="1"/>
  <c r="E52" i="1"/>
  <c r="E51" i="1"/>
  <c r="E50" i="1"/>
  <c r="E49" i="1"/>
  <c r="G48" i="1"/>
  <c r="E48" i="1"/>
  <c r="E46" i="1"/>
  <c r="G41" i="1"/>
  <c r="E41" i="1"/>
  <c r="G38" i="1"/>
  <c r="E38" i="1"/>
  <c r="E36" i="1"/>
  <c r="J34" i="1"/>
  <c r="M34" i="1" s="1"/>
  <c r="N34" i="1" s="1"/>
  <c r="E34" i="1"/>
  <c r="G33" i="1"/>
  <c r="E33" i="1"/>
  <c r="G32" i="1"/>
  <c r="E32" i="1"/>
  <c r="G31" i="1"/>
  <c r="E31" i="1"/>
  <c r="J28" i="1"/>
  <c r="M28" i="1" s="1"/>
  <c r="N28" i="1" s="1"/>
  <c r="E28" i="1"/>
  <c r="J27" i="1"/>
  <c r="M27" i="1" s="1"/>
  <c r="E27" i="1"/>
  <c r="J25" i="1"/>
  <c r="E25" i="1"/>
  <c r="J24" i="1"/>
  <c r="M24" i="1" s="1"/>
  <c r="N24" i="1" s="1"/>
  <c r="E24" i="1"/>
  <c r="J23" i="1"/>
  <c r="M23" i="1" s="1"/>
  <c r="E23" i="1"/>
  <c r="J22" i="1"/>
  <c r="M22" i="1" s="1"/>
  <c r="N22" i="1" s="1"/>
  <c r="E22" i="1"/>
  <c r="J21" i="1"/>
  <c r="M21" i="1" s="1"/>
  <c r="N21" i="1" s="1"/>
  <c r="E21" i="1"/>
  <c r="J20" i="1"/>
  <c r="M20" i="1" s="1"/>
  <c r="N20" i="1" s="1"/>
  <c r="E20" i="1"/>
  <c r="J19" i="1"/>
  <c r="M19" i="1" s="1"/>
  <c r="E19" i="1"/>
  <c r="J17" i="1"/>
  <c r="M17" i="1"/>
  <c r="N17" i="1" s="1"/>
  <c r="G17" i="1"/>
  <c r="E17" i="1"/>
  <c r="J16" i="1"/>
  <c r="M16" i="1" s="1"/>
  <c r="G16" i="1"/>
  <c r="E16" i="1"/>
  <c r="J15" i="1"/>
  <c r="M15" i="1" s="1"/>
  <c r="N15" i="1" s="1"/>
  <c r="G15" i="1"/>
  <c r="E15" i="1"/>
  <c r="E14" i="1"/>
  <c r="K66" i="1"/>
  <c r="K91" i="1"/>
  <c r="K110" i="1"/>
  <c r="K119" i="1"/>
  <c r="K129" i="1"/>
  <c r="K430" i="1"/>
  <c r="K99" i="1"/>
  <c r="K176" i="1"/>
  <c r="K184" i="1"/>
  <c r="K234" i="1"/>
  <c r="K238" i="1"/>
  <c r="K241" i="1"/>
  <c r="K271" i="1"/>
  <c r="K306" i="1"/>
  <c r="K36" i="1"/>
  <c r="G36" i="1"/>
  <c r="K60" i="1"/>
  <c r="K233" i="1"/>
  <c r="K138" i="1"/>
  <c r="K143" i="1"/>
  <c r="K155" i="1"/>
  <c r="K158" i="1"/>
  <c r="K180" i="1"/>
  <c r="K187" i="1"/>
  <c r="K190" i="1"/>
  <c r="K208" i="1"/>
  <c r="K219" i="1"/>
  <c r="K222" i="1"/>
  <c r="K225" i="1"/>
  <c r="K228" i="1"/>
  <c r="K235" i="1"/>
  <c r="K245" i="1"/>
  <c r="K261" i="1"/>
  <c r="K263" i="1"/>
  <c r="K277" i="1"/>
  <c r="K282" i="1"/>
  <c r="K286" i="1"/>
  <c r="K289" i="1"/>
  <c r="K298" i="1"/>
  <c r="K364" i="1"/>
  <c r="L393" i="1"/>
  <c r="L19" i="1"/>
  <c r="K48" i="1"/>
  <c r="G53" i="1"/>
  <c r="K53" i="1"/>
  <c r="K58" i="1"/>
  <c r="G58" i="1"/>
  <c r="K103" i="1"/>
  <c r="K108" i="1"/>
  <c r="K124" i="1"/>
  <c r="K130" i="1"/>
  <c r="K139" i="1"/>
  <c r="K142" i="1"/>
  <c r="K147" i="1"/>
  <c r="K159" i="1"/>
  <c r="K164" i="1"/>
  <c r="K186" i="1"/>
  <c r="K196" i="1"/>
  <c r="K204" i="1"/>
  <c r="K210" i="1"/>
  <c r="K224" i="1"/>
  <c r="K246" i="1"/>
  <c r="K255" i="1"/>
  <c r="K257" i="1"/>
  <c r="K269" i="1"/>
  <c r="K273" i="1"/>
  <c r="K278" i="1"/>
  <c r="K285" i="1"/>
  <c r="K331" i="1"/>
  <c r="K339" i="1"/>
  <c r="K380" i="1"/>
  <c r="L385" i="1"/>
  <c r="K418" i="1"/>
  <c r="K428" i="1"/>
  <c r="L14" i="1"/>
  <c r="G14" i="1"/>
  <c r="G13" i="1" s="1"/>
  <c r="K50" i="1"/>
  <c r="G50" i="1"/>
  <c r="K96" i="1"/>
  <c r="K101" i="1"/>
  <c r="K105" i="1"/>
  <c r="K123" i="1"/>
  <c r="K126" i="1"/>
  <c r="K141" i="1"/>
  <c r="K144" i="1"/>
  <c r="K150" i="1"/>
  <c r="K149" i="1" s="1"/>
  <c r="K153" i="1"/>
  <c r="K156" i="1"/>
  <c r="K162" i="1"/>
  <c r="K161" i="1" s="1"/>
  <c r="K178" i="1"/>
  <c r="K206" i="1"/>
  <c r="K212" i="1"/>
  <c r="K217" i="1"/>
  <c r="K220" i="1"/>
  <c r="K226" i="1"/>
  <c r="K237" i="1"/>
  <c r="K243" i="1"/>
  <c r="K248" i="1"/>
  <c r="K251" i="1"/>
  <c r="K259" i="1"/>
  <c r="K275" i="1"/>
  <c r="K280" i="1"/>
  <c r="K287" i="1"/>
  <c r="K333" i="1"/>
  <c r="L387" i="1"/>
  <c r="L394" i="1"/>
  <c r="L21" i="1"/>
  <c r="K52" i="1"/>
  <c r="K95" i="1"/>
  <c r="K98" i="1"/>
  <c r="K109" i="1"/>
  <c r="K113" i="1"/>
  <c r="K121" i="1"/>
  <c r="K125" i="1"/>
  <c r="K131" i="1"/>
  <c r="K135" i="1"/>
  <c r="K15" i="1"/>
  <c r="K54" i="1"/>
  <c r="K56" i="1"/>
  <c r="G56" i="1"/>
  <c r="G86" i="1"/>
  <c r="G82" i="1" s="1"/>
  <c r="K97" i="1"/>
  <c r="K100" i="1"/>
  <c r="K111" i="1"/>
  <c r="K116" i="1"/>
  <c r="K115" i="1" s="1"/>
  <c r="K128" i="1"/>
  <c r="K133" i="1"/>
  <c r="K137" i="1"/>
  <c r="K140" i="1"/>
  <c r="K145" i="1"/>
  <c r="K148" i="1"/>
  <c r="K152" i="1"/>
  <c r="K157" i="1"/>
  <c r="K160" i="1"/>
  <c r="K174" i="1"/>
  <c r="K182" i="1"/>
  <c r="K192" i="1"/>
  <c r="K194" i="1"/>
  <c r="K221" i="1"/>
  <c r="K227" i="1"/>
  <c r="K232" i="1"/>
  <c r="K247" i="1"/>
  <c r="K267" i="1"/>
  <c r="K279" i="1"/>
  <c r="K288" i="1"/>
  <c r="K292" i="1"/>
  <c r="K300" i="1"/>
  <c r="K304" i="1"/>
  <c r="K358" i="1"/>
  <c r="K410" i="1"/>
  <c r="K416" i="1"/>
  <c r="L34" i="1"/>
  <c r="M280" i="1"/>
  <c r="K59" i="1"/>
  <c r="M235" i="1"/>
  <c r="K258" i="1"/>
  <c r="M87" i="1"/>
  <c r="N87" i="1" s="1"/>
  <c r="K240" i="1"/>
  <c r="K242" i="1"/>
  <c r="L24" i="1"/>
  <c r="L55" i="1"/>
  <c r="K197" i="1"/>
  <c r="K256" i="1"/>
  <c r="K55" i="1"/>
  <c r="K313" i="1"/>
  <c r="K319" i="1"/>
  <c r="L16" i="1"/>
  <c r="K23" i="1"/>
  <c r="L27" i="1"/>
  <c r="K41" i="1"/>
  <c r="L20" i="1"/>
  <c r="K181" i="1"/>
  <c r="K264" i="1"/>
  <c r="K356" i="1"/>
  <c r="K34" i="1"/>
  <c r="K49" i="1"/>
  <c r="K193" i="1"/>
  <c r="K195" i="1"/>
  <c r="K211" i="1"/>
  <c r="K213" i="1"/>
  <c r="K272" i="1"/>
  <c r="K274" i="1"/>
  <c r="K350" i="1"/>
  <c r="L85" i="1"/>
  <c r="L162" i="1"/>
  <c r="L161" i="1" s="1"/>
  <c r="K165" i="1"/>
  <c r="K179" i="1"/>
  <c r="K205" i="1"/>
  <c r="L185" i="1"/>
  <c r="J185" i="1"/>
  <c r="M185" i="1" s="1"/>
  <c r="K249" i="1"/>
  <c r="K265" i="1"/>
  <c r="K14" i="1"/>
  <c r="K19" i="1"/>
  <c r="K90" i="1"/>
  <c r="K120" i="1"/>
  <c r="K132" i="1"/>
  <c r="K168" i="1"/>
  <c r="K189" i="1"/>
  <c r="K198" i="1"/>
  <c r="K203" i="1"/>
  <c r="K214" i="1"/>
  <c r="K218" i="1"/>
  <c r="L264" i="1"/>
  <c r="J264" i="1"/>
  <c r="M264" i="1" s="1"/>
  <c r="K94" i="1"/>
  <c r="K104" i="1"/>
  <c r="K154" i="1"/>
  <c r="K89" i="1"/>
  <c r="K88" i="1" s="1"/>
  <c r="K136" i="1"/>
  <c r="K146" i="1"/>
  <c r="K171" i="1"/>
  <c r="K188" i="1"/>
  <c r="K202" i="1"/>
  <c r="L262" i="1"/>
  <c r="J262" i="1"/>
  <c r="M262" i="1" s="1"/>
  <c r="N262" i="1" s="1"/>
  <c r="K281" i="1"/>
  <c r="L17" i="1"/>
  <c r="K21" i="1"/>
  <c r="K51" i="1"/>
  <c r="J55" i="1"/>
  <c r="M55" i="1" s="1"/>
  <c r="N55" i="1" s="1"/>
  <c r="K114" i="1"/>
  <c r="K166" i="1"/>
  <c r="K170" i="1"/>
  <c r="K200" i="1"/>
  <c r="K216" i="1"/>
  <c r="K250" i="1"/>
  <c r="K266" i="1"/>
  <c r="L169" i="1"/>
  <c r="L171" i="1"/>
  <c r="L203" i="1"/>
  <c r="M333" i="1"/>
  <c r="K87" i="1"/>
  <c r="J169" i="1"/>
  <c r="M169" i="1" s="1"/>
  <c r="N169" i="1" s="1"/>
  <c r="J171" i="1"/>
  <c r="M171" i="1" s="1"/>
  <c r="N171" i="1" s="1"/>
  <c r="L177" i="1"/>
  <c r="L179" i="1"/>
  <c r="L193" i="1"/>
  <c r="J203" i="1"/>
  <c r="M203" i="1" s="1"/>
  <c r="N203" i="1" s="1"/>
  <c r="L254" i="1"/>
  <c r="L256" i="1"/>
  <c r="L270" i="1"/>
  <c r="L272" i="1"/>
  <c r="K317" i="1"/>
  <c r="M418" i="1"/>
  <c r="N418" i="1" s="1"/>
  <c r="J193" i="1"/>
  <c r="M193" i="1" s="1"/>
  <c r="N193" i="1" s="1"/>
  <c r="L211" i="1"/>
  <c r="J254" i="1"/>
  <c r="M254" i="1" s="1"/>
  <c r="J256" i="1"/>
  <c r="M256" i="1" s="1"/>
  <c r="J270" i="1"/>
  <c r="M270" i="1" s="1"/>
  <c r="N270" i="1" s="1"/>
  <c r="J272" i="1"/>
  <c r="M272" i="1" s="1"/>
  <c r="L434" i="1"/>
  <c r="L433" i="1" s="1"/>
  <c r="K17" i="1"/>
  <c r="L22" i="1"/>
  <c r="L15" i="1"/>
  <c r="K22" i="1"/>
  <c r="M25" i="1"/>
  <c r="N25" i="1" s="1"/>
  <c r="K25" i="1"/>
  <c r="L28" i="1"/>
  <c r="L32" i="1"/>
  <c r="L31" i="1"/>
  <c r="L25" i="1"/>
  <c r="K28" i="1"/>
  <c r="K26" i="1" s="1"/>
  <c r="K32" i="1"/>
  <c r="J33" i="1"/>
  <c r="M33" i="1" s="1"/>
  <c r="N33" i="1" s="1"/>
  <c r="L33" i="1"/>
  <c r="L23" i="1"/>
  <c r="K31" i="1"/>
  <c r="K33" i="1"/>
  <c r="L59" i="1"/>
  <c r="L89" i="1"/>
  <c r="L95" i="1"/>
  <c r="L96" i="1"/>
  <c r="J96" i="1"/>
  <c r="M96" i="1" s="1"/>
  <c r="N96" i="1" s="1"/>
  <c r="L103" i="1"/>
  <c r="L104" i="1"/>
  <c r="J104" i="1"/>
  <c r="M104" i="1" s="1"/>
  <c r="L111" i="1"/>
  <c r="L121" i="1"/>
  <c r="L129" i="1"/>
  <c r="L130" i="1"/>
  <c r="J130" i="1"/>
  <c r="M130" i="1" s="1"/>
  <c r="N130" i="1" s="1"/>
  <c r="L137" i="1"/>
  <c r="L145" i="1"/>
  <c r="L146" i="1"/>
  <c r="J146" i="1"/>
  <c r="M146" i="1" s="1"/>
  <c r="N146" i="1" s="1"/>
  <c r="L155" i="1"/>
  <c r="L156" i="1"/>
  <c r="J156" i="1"/>
  <c r="M156" i="1" s="1"/>
  <c r="N156" i="1" s="1"/>
  <c r="K199" i="1"/>
  <c r="K207" i="1"/>
  <c r="K215" i="1"/>
  <c r="L231" i="1"/>
  <c r="K231" i="1"/>
  <c r="L239" i="1"/>
  <c r="K239" i="1"/>
  <c r="L48" i="1"/>
  <c r="J48" i="1"/>
  <c r="M48" i="1" s="1"/>
  <c r="K61" i="1"/>
  <c r="L87" i="1"/>
  <c r="L94" i="1"/>
  <c r="J94" i="1"/>
  <c r="M94" i="1" s="1"/>
  <c r="N94" i="1" s="1"/>
  <c r="L101" i="1"/>
  <c r="L119" i="1"/>
  <c r="L120" i="1"/>
  <c r="J120" i="1"/>
  <c r="M120" i="1" s="1"/>
  <c r="L128" i="1"/>
  <c r="J128" i="1"/>
  <c r="M128" i="1" s="1"/>
  <c r="N128" i="1" s="1"/>
  <c r="L135" i="1"/>
  <c r="L136" i="1"/>
  <c r="J136" i="1"/>
  <c r="M136" i="1" s="1"/>
  <c r="N136" i="1" s="1"/>
  <c r="M139" i="1"/>
  <c r="L143" i="1"/>
  <c r="L144" i="1"/>
  <c r="J144" i="1"/>
  <c r="M144" i="1" s="1"/>
  <c r="M147" i="1"/>
  <c r="L153" i="1"/>
  <c r="L154" i="1"/>
  <c r="J154" i="1"/>
  <c r="M154" i="1" s="1"/>
  <c r="N154" i="1" s="1"/>
  <c r="L54" i="1"/>
  <c r="J54" i="1"/>
  <c r="M54" i="1" s="1"/>
  <c r="N54" i="1" s="1"/>
  <c r="L84" i="1"/>
  <c r="L91" i="1"/>
  <c r="L99" i="1"/>
  <c r="L100" i="1"/>
  <c r="J100" i="1"/>
  <c r="M100" i="1" s="1"/>
  <c r="N100" i="1" s="1"/>
  <c r="L108" i="1"/>
  <c r="L125" i="1"/>
  <c r="L126" i="1"/>
  <c r="J126" i="1"/>
  <c r="M126" i="1" s="1"/>
  <c r="N126" i="1" s="1"/>
  <c r="L133" i="1"/>
  <c r="L141" i="1"/>
  <c r="L142" i="1"/>
  <c r="J142" i="1"/>
  <c r="M142" i="1" s="1"/>
  <c r="N142" i="1" s="1"/>
  <c r="L152" i="1"/>
  <c r="J152" i="1"/>
  <c r="M152" i="1" s="1"/>
  <c r="L159" i="1"/>
  <c r="J160" i="1"/>
  <c r="M160" i="1" s="1"/>
  <c r="N160" i="1" s="1"/>
  <c r="L160" i="1"/>
  <c r="L168" i="1"/>
  <c r="J168" i="1"/>
  <c r="M168" i="1" s="1"/>
  <c r="L176" i="1"/>
  <c r="J176" i="1"/>
  <c r="M176" i="1" s="1"/>
  <c r="N176" i="1" s="1"/>
  <c r="L184" i="1"/>
  <c r="J184" i="1"/>
  <c r="M184" i="1" s="1"/>
  <c r="N184" i="1" s="1"/>
  <c r="L192" i="1"/>
  <c r="J192" i="1"/>
  <c r="M192" i="1" s="1"/>
  <c r="L52" i="1"/>
  <c r="J52" i="1"/>
  <c r="M52" i="1" s="1"/>
  <c r="N52" i="1" s="1"/>
  <c r="L60" i="1"/>
  <c r="J60" i="1"/>
  <c r="M60" i="1" s="1"/>
  <c r="L90" i="1"/>
  <c r="J90" i="1"/>
  <c r="M90" i="1" s="1"/>
  <c r="N90" i="1" s="1"/>
  <c r="L97" i="1"/>
  <c r="L98" i="1"/>
  <c r="J98" i="1"/>
  <c r="M98" i="1" s="1"/>
  <c r="N98" i="1" s="1"/>
  <c r="L105" i="1"/>
  <c r="L116" i="1"/>
  <c r="L115" i="1" s="1"/>
  <c r="J116" i="1"/>
  <c r="M116" i="1" s="1"/>
  <c r="L123" i="1"/>
  <c r="L124" i="1"/>
  <c r="J124" i="1"/>
  <c r="M124" i="1" s="1"/>
  <c r="N124" i="1" s="1"/>
  <c r="L131" i="1"/>
  <c r="L132" i="1"/>
  <c r="J132" i="1"/>
  <c r="M132" i="1" s="1"/>
  <c r="L139" i="1"/>
  <c r="L140" i="1"/>
  <c r="J140" i="1"/>
  <c r="M140" i="1" s="1"/>
  <c r="N140" i="1" s="1"/>
  <c r="L147" i="1"/>
  <c r="L148" i="1"/>
  <c r="J148" i="1"/>
  <c r="M148" i="1" s="1"/>
  <c r="N148" i="1" s="1"/>
  <c r="L150" i="1"/>
  <c r="L149" i="1" s="1"/>
  <c r="J150" i="1"/>
  <c r="M150" i="1" s="1"/>
  <c r="L157" i="1"/>
  <c r="L158" i="1"/>
  <c r="J158" i="1"/>
  <c r="M158" i="1" s="1"/>
  <c r="N158" i="1" s="1"/>
  <c r="K167" i="1"/>
  <c r="K175" i="1"/>
  <c r="K183" i="1"/>
  <c r="K191" i="1"/>
  <c r="L200" i="1"/>
  <c r="J200" i="1"/>
  <c r="M200" i="1" s="1"/>
  <c r="L208" i="1"/>
  <c r="J208" i="1"/>
  <c r="M208" i="1" s="1"/>
  <c r="N208" i="1" s="1"/>
  <c r="L216" i="1"/>
  <c r="J216" i="1"/>
  <c r="M216" i="1" s="1"/>
  <c r="N216" i="1" s="1"/>
  <c r="L224" i="1"/>
  <c r="J224" i="1"/>
  <c r="M224" i="1"/>
  <c r="L232" i="1"/>
  <c r="J232" i="1"/>
  <c r="M232" i="1" s="1"/>
  <c r="N232" i="1" s="1"/>
  <c r="L299" i="1"/>
  <c r="J299" i="1"/>
  <c r="M299" i="1" s="1"/>
  <c r="N299" i="1" s="1"/>
  <c r="L166" i="1"/>
  <c r="J166" i="1"/>
  <c r="M166" i="1" s="1"/>
  <c r="N166" i="1" s="1"/>
  <c r="L167" i="1"/>
  <c r="L174" i="1"/>
  <c r="J174" i="1"/>
  <c r="M174" i="1" s="1"/>
  <c r="L175" i="1"/>
  <c r="L182" i="1"/>
  <c r="J182" i="1"/>
  <c r="M182" i="1" s="1"/>
  <c r="N182" i="1" s="1"/>
  <c r="L183" i="1"/>
  <c r="L190" i="1"/>
  <c r="J190" i="1"/>
  <c r="M190" i="1" s="1"/>
  <c r="N190" i="1" s="1"/>
  <c r="L191" i="1"/>
  <c r="L198" i="1"/>
  <c r="J198" i="1"/>
  <c r="M198" i="1" s="1"/>
  <c r="N198" i="1" s="1"/>
  <c r="L199" i="1"/>
  <c r="L206" i="1"/>
  <c r="J206" i="1"/>
  <c r="M206" i="1" s="1"/>
  <c r="L207" i="1"/>
  <c r="L214" i="1"/>
  <c r="J214" i="1"/>
  <c r="M214" i="1" s="1"/>
  <c r="N214" i="1" s="1"/>
  <c r="L215" i="1"/>
  <c r="L221" i="1"/>
  <c r="L222" i="1"/>
  <c r="J222" i="1"/>
  <c r="M222" i="1" s="1"/>
  <c r="N222" i="1" s="1"/>
  <c r="L237" i="1"/>
  <c r="L238" i="1"/>
  <c r="J238" i="1"/>
  <c r="M238" i="1" s="1"/>
  <c r="N238" i="1" s="1"/>
  <c r="L294" i="1"/>
  <c r="K294" i="1"/>
  <c r="L302" i="1"/>
  <c r="K302" i="1"/>
  <c r="L164" i="1"/>
  <c r="L165" i="1"/>
  <c r="M167" i="1"/>
  <c r="N167" i="1" s="1"/>
  <c r="K169" i="1"/>
  <c r="K177" i="1"/>
  <c r="L180" i="1"/>
  <c r="J180" i="1"/>
  <c r="M180" i="1" s="1"/>
  <c r="L181" i="1"/>
  <c r="K185" i="1"/>
  <c r="L187" i="1"/>
  <c r="L188" i="1"/>
  <c r="J188" i="1"/>
  <c r="M188" i="1" s="1"/>
  <c r="N188" i="1" s="1"/>
  <c r="L189" i="1"/>
  <c r="L196" i="1"/>
  <c r="J196" i="1"/>
  <c r="M196" i="1" s="1"/>
  <c r="L197" i="1"/>
  <c r="M199" i="1"/>
  <c r="N199" i="1" s="1"/>
  <c r="L204" i="1"/>
  <c r="J204" i="1"/>
  <c r="M204" i="1" s="1"/>
  <c r="N204" i="1" s="1"/>
  <c r="L205" i="1"/>
  <c r="L212" i="1"/>
  <c r="J212" i="1"/>
  <c r="M212" i="1" s="1"/>
  <c r="N212" i="1" s="1"/>
  <c r="L213" i="1"/>
  <c r="L219" i="1"/>
  <c r="L220" i="1"/>
  <c r="L227" i="1"/>
  <c r="L228" i="1"/>
  <c r="J228" i="1"/>
  <c r="M228" i="1" s="1"/>
  <c r="L235" i="1"/>
  <c r="L245" i="1"/>
  <c r="J245" i="1"/>
  <c r="M245" i="1" s="1"/>
  <c r="N245" i="1" s="1"/>
  <c r="L261" i="1"/>
  <c r="J261" i="1"/>
  <c r="M261" i="1" s="1"/>
  <c r="N261" i="1" s="1"/>
  <c r="L269" i="1"/>
  <c r="J269" i="1"/>
  <c r="M269" i="1" s="1"/>
  <c r="N269" i="1" s="1"/>
  <c r="L277" i="1"/>
  <c r="J277" i="1"/>
  <c r="M277" i="1" s="1"/>
  <c r="N277" i="1" s="1"/>
  <c r="L285" i="1"/>
  <c r="J285" i="1"/>
  <c r="M285" i="1" s="1"/>
  <c r="L305" i="1"/>
  <c r="J305" i="1"/>
  <c r="M305" i="1" s="1"/>
  <c r="N305" i="1" s="1"/>
  <c r="L170" i="1"/>
  <c r="J170" i="1"/>
  <c r="M170" i="1" s="1"/>
  <c r="N170" i="1" s="1"/>
  <c r="L178" i="1"/>
  <c r="J178" i="1"/>
  <c r="M178" i="1" s="1"/>
  <c r="N178" i="1" s="1"/>
  <c r="L186" i="1"/>
  <c r="J186" i="1"/>
  <c r="M186" i="1" s="1"/>
  <c r="L194" i="1"/>
  <c r="J194" i="1"/>
  <c r="M194" i="1" s="1"/>
  <c r="N194" i="1" s="1"/>
  <c r="L195" i="1"/>
  <c r="L202" i="1"/>
  <c r="J202" i="1"/>
  <c r="M202" i="1" s="1"/>
  <c r="L210" i="1"/>
  <c r="J210" i="1"/>
  <c r="M210" i="1" s="1"/>
  <c r="L217" i="1"/>
  <c r="L218" i="1"/>
  <c r="J218" i="1"/>
  <c r="M218" i="1" s="1"/>
  <c r="N218" i="1" s="1"/>
  <c r="L225" i="1"/>
  <c r="L226" i="1"/>
  <c r="J226" i="1"/>
  <c r="M226" i="1" s="1"/>
  <c r="L233" i="1"/>
  <c r="L234" i="1"/>
  <c r="J234" i="1"/>
  <c r="M234" i="1" s="1"/>
  <c r="K244" i="1"/>
  <c r="K252" i="1"/>
  <c r="K260" i="1"/>
  <c r="K268" i="1"/>
  <c r="K276" i="1"/>
  <c r="L284" i="1"/>
  <c r="K284" i="1"/>
  <c r="L308" i="1"/>
  <c r="K308" i="1"/>
  <c r="K327" i="1"/>
  <c r="L335" i="1"/>
  <c r="K335" i="1"/>
  <c r="L243" i="1"/>
  <c r="J243" i="1"/>
  <c r="M243" i="1" s="1"/>
  <c r="L244" i="1"/>
  <c r="L251" i="1"/>
  <c r="J251" i="1"/>
  <c r="M251" i="1" s="1"/>
  <c r="L252" i="1"/>
  <c r="L259" i="1"/>
  <c r="J259" i="1"/>
  <c r="M259" i="1" s="1"/>
  <c r="N259" i="1" s="1"/>
  <c r="L260" i="1"/>
  <c r="L267" i="1"/>
  <c r="J267" i="1"/>
  <c r="M267" i="1" s="1"/>
  <c r="N267" i="1" s="1"/>
  <c r="L268" i="1"/>
  <c r="L275" i="1"/>
  <c r="J275" i="1"/>
  <c r="M275" i="1" s="1"/>
  <c r="N275" i="1" s="1"/>
  <c r="L276" i="1"/>
  <c r="L282" i="1"/>
  <c r="L290" i="1"/>
  <c r="L293" i="1"/>
  <c r="J293" i="1"/>
  <c r="M293" i="1" s="1"/>
  <c r="L296" i="1"/>
  <c r="L301" i="1"/>
  <c r="J301" i="1"/>
  <c r="M301" i="1" s="1"/>
  <c r="N301" i="1" s="1"/>
  <c r="L307" i="1"/>
  <c r="J307" i="1"/>
  <c r="M307" i="1" s="1"/>
  <c r="L310" i="1"/>
  <c r="L357" i="1"/>
  <c r="J357" i="1"/>
  <c r="M357" i="1" s="1"/>
  <c r="N357" i="1" s="1"/>
  <c r="L372" i="1"/>
  <c r="K372" i="1"/>
  <c r="L240" i="1"/>
  <c r="L241" i="1"/>
  <c r="J241" i="1"/>
  <c r="M241" i="1" s="1"/>
  <c r="N241" i="1" s="1"/>
  <c r="L242" i="1"/>
  <c r="L248" i="1"/>
  <c r="L249" i="1"/>
  <c r="J249" i="1"/>
  <c r="M249" i="1" s="1"/>
  <c r="N249" i="1" s="1"/>
  <c r="L250" i="1"/>
  <c r="K254" i="1"/>
  <c r="L257" i="1"/>
  <c r="J257" i="1"/>
  <c r="M257" i="1" s="1"/>
  <c r="N257" i="1" s="1"/>
  <c r="L258" i="1"/>
  <c r="K262" i="1"/>
  <c r="L265" i="1"/>
  <c r="J265" i="1"/>
  <c r="M265" i="1" s="1"/>
  <c r="N265" i="1" s="1"/>
  <c r="L266" i="1"/>
  <c r="M268" i="1"/>
  <c r="K270" i="1"/>
  <c r="L273" i="1"/>
  <c r="J273" i="1"/>
  <c r="M273" i="1" s="1"/>
  <c r="N273" i="1" s="1"/>
  <c r="L274" i="1"/>
  <c r="L280" i="1"/>
  <c r="L281" i="1"/>
  <c r="J281" i="1"/>
  <c r="M281" i="1" s="1"/>
  <c r="N281" i="1" s="1"/>
  <c r="M284" i="1"/>
  <c r="L288" i="1"/>
  <c r="L289" i="1"/>
  <c r="J289" i="1"/>
  <c r="M289" i="1" s="1"/>
  <c r="L295" i="1"/>
  <c r="J295" i="1"/>
  <c r="M295" i="1" s="1"/>
  <c r="N295" i="1" s="1"/>
  <c r="L298" i="1"/>
  <c r="L304" i="1"/>
  <c r="L309" i="1"/>
  <c r="J309" i="1"/>
  <c r="M309" i="1" s="1"/>
  <c r="N309" i="1" s="1"/>
  <c r="L318" i="1"/>
  <c r="J318" i="1"/>
  <c r="M318" i="1" s="1"/>
  <c r="N318" i="1" s="1"/>
  <c r="L341" i="1"/>
  <c r="K341" i="1"/>
  <c r="L246" i="1"/>
  <c r="L247" i="1"/>
  <c r="J247" i="1"/>
  <c r="M247" i="1" s="1"/>
  <c r="L255" i="1"/>
  <c r="J255" i="1"/>
  <c r="M255" i="1" s="1"/>
  <c r="N255" i="1" s="1"/>
  <c r="L263" i="1"/>
  <c r="J263" i="1"/>
  <c r="M263" i="1" s="1"/>
  <c r="N263" i="1" s="1"/>
  <c r="L271" i="1"/>
  <c r="J271" i="1"/>
  <c r="M271" i="1" s="1"/>
  <c r="N271" i="1" s="1"/>
  <c r="L278" i="1"/>
  <c r="L279" i="1"/>
  <c r="J279" i="1"/>
  <c r="M279" i="1" s="1"/>
  <c r="L286" i="1"/>
  <c r="L287" i="1"/>
  <c r="J287" i="1"/>
  <c r="M287" i="1" s="1"/>
  <c r="K290" i="1"/>
  <c r="L292" i="1"/>
  <c r="K296" i="1"/>
  <c r="L297" i="1"/>
  <c r="J297" i="1"/>
  <c r="M297" i="1" s="1"/>
  <c r="L300" i="1"/>
  <c r="L306" i="1"/>
  <c r="K310" i="1"/>
  <c r="L311" i="1"/>
  <c r="J311" i="1"/>
  <c r="M311" i="1" s="1"/>
  <c r="L312" i="1"/>
  <c r="J312" i="1"/>
  <c r="M312" i="1" s="1"/>
  <c r="N312" i="1" s="1"/>
  <c r="K321" i="1"/>
  <c r="L332" i="1"/>
  <c r="J332" i="1"/>
  <c r="M332" i="1" s="1"/>
  <c r="N332" i="1" s="1"/>
  <c r="L347" i="1"/>
  <c r="K347" i="1"/>
  <c r="L314" i="1"/>
  <c r="J314" i="1"/>
  <c r="M314" i="1" s="1"/>
  <c r="N314" i="1" s="1"/>
  <c r="L320" i="1"/>
  <c r="J320" i="1"/>
  <c r="M320" i="1" s="1"/>
  <c r="L326" i="1"/>
  <c r="J326" i="1"/>
  <c r="M326" i="1" s="1"/>
  <c r="N326" i="1" s="1"/>
  <c r="L334" i="1"/>
  <c r="J334" i="1"/>
  <c r="M334" i="1" s="1"/>
  <c r="N334" i="1" s="1"/>
  <c r="L337" i="1"/>
  <c r="L343" i="1"/>
  <c r="L346" i="1"/>
  <c r="J346" i="1"/>
  <c r="M346" i="1" s="1"/>
  <c r="L349" i="1"/>
  <c r="K352" i="1"/>
  <c r="L360" i="1"/>
  <c r="K360" i="1"/>
  <c r="J411" i="1"/>
  <c r="M411" i="1" s="1"/>
  <c r="N411" i="1" s="1"/>
  <c r="L411" i="1"/>
  <c r="L426" i="1"/>
  <c r="K426" i="1"/>
  <c r="K293" i="1"/>
  <c r="K295" i="1"/>
  <c r="K297" i="1"/>
  <c r="K299" i="1"/>
  <c r="K301" i="1"/>
  <c r="K305" i="1"/>
  <c r="K307" i="1"/>
  <c r="K309" i="1"/>
  <c r="K311" i="1"/>
  <c r="L322" i="1"/>
  <c r="J322" i="1"/>
  <c r="M322" i="1" s="1"/>
  <c r="N322" i="1" s="1"/>
  <c r="L328" i="1"/>
  <c r="J328" i="1"/>
  <c r="M328" i="1" s="1"/>
  <c r="N328" i="1" s="1"/>
  <c r="L331" i="1"/>
  <c r="L336" i="1"/>
  <c r="J336" i="1"/>
  <c r="M336" i="1" s="1"/>
  <c r="N336" i="1" s="1"/>
  <c r="L339" i="1"/>
  <c r="L342" i="1"/>
  <c r="J342" i="1"/>
  <c r="M342" i="1" s="1"/>
  <c r="L348" i="1"/>
  <c r="J348" i="1"/>
  <c r="M348" i="1" s="1"/>
  <c r="N348" i="1" s="1"/>
  <c r="L381" i="1"/>
  <c r="J381" i="1"/>
  <c r="M381" i="1" s="1"/>
  <c r="N381" i="1" s="1"/>
  <c r="K312" i="1"/>
  <c r="L316" i="1"/>
  <c r="J316" i="1"/>
  <c r="M316" i="1" s="1"/>
  <c r="K323" i="1"/>
  <c r="L324" i="1"/>
  <c r="J324" i="1"/>
  <c r="M324" i="1" s="1"/>
  <c r="K329" i="1"/>
  <c r="L330" i="1"/>
  <c r="J330" i="1"/>
  <c r="M330" i="1" s="1"/>
  <c r="N330" i="1" s="1"/>
  <c r="L333" i="1"/>
  <c r="K337" i="1"/>
  <c r="L338" i="1"/>
  <c r="J338" i="1"/>
  <c r="M338" i="1" s="1"/>
  <c r="N338" i="1" s="1"/>
  <c r="K343" i="1"/>
  <c r="L344" i="1"/>
  <c r="L340" i="1" s="1"/>
  <c r="J344" i="1"/>
  <c r="M344" i="1" s="1"/>
  <c r="N344" i="1" s="1"/>
  <c r="K349" i="1"/>
  <c r="L366" i="1"/>
  <c r="K366" i="1"/>
  <c r="L376" i="1"/>
  <c r="K376" i="1"/>
  <c r="L313" i="1"/>
  <c r="L317" i="1"/>
  <c r="L319" i="1"/>
  <c r="L321" i="1"/>
  <c r="L323" i="1"/>
  <c r="L327" i="1"/>
  <c r="L329" i="1"/>
  <c r="L351" i="1"/>
  <c r="J351" i="1"/>
  <c r="M351" i="1" s="1"/>
  <c r="L359" i="1"/>
  <c r="J359" i="1"/>
  <c r="M359" i="1" s="1"/>
  <c r="L362" i="1"/>
  <c r="L368" i="1"/>
  <c r="L371" i="1"/>
  <c r="J371" i="1"/>
  <c r="M371" i="1" s="1"/>
  <c r="L378" i="1"/>
  <c r="J429" i="1"/>
  <c r="M429" i="1" s="1"/>
  <c r="L429" i="1"/>
  <c r="K314" i="1"/>
  <c r="K316" i="1"/>
  <c r="K318" i="1"/>
  <c r="K320" i="1"/>
  <c r="K322" i="1"/>
  <c r="K324" i="1"/>
  <c r="K326" i="1"/>
  <c r="K328" i="1"/>
  <c r="K330" i="1"/>
  <c r="K332" i="1"/>
  <c r="K334" i="1"/>
  <c r="K336" i="1"/>
  <c r="K338" i="1"/>
  <c r="K342" i="1"/>
  <c r="K344" i="1"/>
  <c r="K346" i="1"/>
  <c r="K348" i="1"/>
  <c r="L353" i="1"/>
  <c r="J353" i="1"/>
  <c r="M353" i="1" s="1"/>
  <c r="N353" i="1" s="1"/>
  <c r="L361" i="1"/>
  <c r="J361" i="1"/>
  <c r="M361" i="1" s="1"/>
  <c r="N361" i="1" s="1"/>
  <c r="L364" i="1"/>
  <c r="L367" i="1"/>
  <c r="J367" i="1"/>
  <c r="M367" i="1" s="1"/>
  <c r="L373" i="1"/>
  <c r="J373" i="1"/>
  <c r="M373" i="1" s="1"/>
  <c r="L377" i="1"/>
  <c r="J377" i="1"/>
  <c r="M377" i="1" s="1"/>
  <c r="L380" i="1"/>
  <c r="L386" i="1"/>
  <c r="J417" i="1"/>
  <c r="M417" i="1" s="1"/>
  <c r="N417" i="1" s="1"/>
  <c r="L417" i="1"/>
  <c r="K432" i="1"/>
  <c r="K354" i="1"/>
  <c r="L355" i="1"/>
  <c r="J355" i="1"/>
  <c r="M355" i="1" s="1"/>
  <c r="L358" i="1"/>
  <c r="K362" i="1"/>
  <c r="L363" i="1"/>
  <c r="J363" i="1"/>
  <c r="M363" i="1" s="1"/>
  <c r="K368" i="1"/>
  <c r="L369" i="1"/>
  <c r="J369" i="1"/>
  <c r="M369" i="1" s="1"/>
  <c r="N369" i="1" s="1"/>
  <c r="K378" i="1"/>
  <c r="L379" i="1"/>
  <c r="J379" i="1"/>
  <c r="M379" i="1" s="1"/>
  <c r="N379" i="1" s="1"/>
  <c r="L420" i="1"/>
  <c r="K420" i="1"/>
  <c r="L350" i="1"/>
  <c r="L352" i="1"/>
  <c r="L354" i="1"/>
  <c r="L356" i="1"/>
  <c r="L389" i="1"/>
  <c r="L408" i="1"/>
  <c r="L414" i="1"/>
  <c r="L422" i="1"/>
  <c r="J425" i="1"/>
  <c r="M425" i="1" s="1"/>
  <c r="L425" i="1"/>
  <c r="J431" i="1"/>
  <c r="M431" i="1" s="1"/>
  <c r="N431" i="1" s="1"/>
  <c r="L431" i="1"/>
  <c r="L432" i="1"/>
  <c r="K351" i="1"/>
  <c r="K353" i="1"/>
  <c r="K355" i="1"/>
  <c r="K357" i="1"/>
  <c r="K359" i="1"/>
  <c r="K361" i="1"/>
  <c r="K363" i="1"/>
  <c r="K367" i="1"/>
  <c r="K369" i="1"/>
  <c r="K371" i="1"/>
  <c r="K373" i="1"/>
  <c r="K377" i="1"/>
  <c r="K379" i="1"/>
  <c r="K381" i="1"/>
  <c r="L388" i="1"/>
  <c r="L410" i="1"/>
  <c r="J413" i="1"/>
  <c r="M413" i="1" s="1"/>
  <c r="L413" i="1"/>
  <c r="L416" i="1"/>
  <c r="J421" i="1"/>
  <c r="M421" i="1" s="1"/>
  <c r="N421" i="1" s="1"/>
  <c r="L421" i="1"/>
  <c r="L428" i="1"/>
  <c r="L390" i="1"/>
  <c r="L392" i="1"/>
  <c r="K408" i="1"/>
  <c r="J409" i="1"/>
  <c r="M409" i="1" s="1"/>
  <c r="N409" i="1" s="1"/>
  <c r="L409" i="1"/>
  <c r="K414" i="1"/>
  <c r="J415" i="1"/>
  <c r="M415" i="1" s="1"/>
  <c r="N415" i="1" s="1"/>
  <c r="L415" i="1"/>
  <c r="M416" i="1"/>
  <c r="N416" i="1" s="1"/>
  <c r="L418" i="1"/>
  <c r="K422" i="1"/>
  <c r="J423" i="1"/>
  <c r="M423" i="1" s="1"/>
  <c r="L423" i="1"/>
  <c r="M428" i="1"/>
  <c r="N428" i="1" s="1"/>
  <c r="L430" i="1"/>
  <c r="K409" i="1"/>
  <c r="K411" i="1"/>
  <c r="K413" i="1"/>
  <c r="K415" i="1"/>
  <c r="K417" i="1"/>
  <c r="K419" i="1"/>
  <c r="K421" i="1"/>
  <c r="K423" i="1"/>
  <c r="K425" i="1"/>
  <c r="K429" i="1"/>
  <c r="K431" i="1"/>
  <c r="J432" i="1"/>
  <c r="M432" i="1" s="1"/>
  <c r="N432" i="1" s="1"/>
  <c r="J434" i="1"/>
  <c r="M434" i="1" s="1"/>
  <c r="K434" i="1"/>
  <c r="K433" i="1"/>
  <c r="L13" i="1"/>
  <c r="L26" i="1"/>
  <c r="N31" i="1"/>
  <c r="K383" i="1"/>
  <c r="N235" i="1"/>
  <c r="K122" i="1"/>
  <c r="G112" i="1"/>
  <c r="J109" i="1"/>
  <c r="M109" i="1" s="1"/>
  <c r="N109" i="1" s="1"/>
  <c r="L365" i="1"/>
  <c r="G375" i="1"/>
  <c r="G374" i="1" s="1"/>
  <c r="G209" i="1"/>
  <c r="G107" i="1"/>
  <c r="L42" i="1"/>
  <c r="J45" i="1"/>
  <c r="M45" i="1" s="1"/>
  <c r="N45" i="1" s="1"/>
  <c r="L45" i="1"/>
  <c r="J46" i="1"/>
  <c r="M46" i="1" s="1"/>
  <c r="N46" i="1" s="1"/>
  <c r="L46" i="1"/>
  <c r="L38" i="1"/>
  <c r="L36" i="1"/>
  <c r="L53" i="1"/>
  <c r="L61" i="1"/>
  <c r="L57" i="1"/>
  <c r="J57" i="1"/>
  <c r="M57" i="1" s="1"/>
  <c r="N57" i="1" s="1"/>
  <c r="J63" i="1"/>
  <c r="M63" i="1" s="1"/>
  <c r="N63" i="1" s="1"/>
  <c r="L63" i="1"/>
  <c r="J56" i="1"/>
  <c r="M56" i="1" s="1"/>
  <c r="N56" i="1" s="1"/>
  <c r="L56" i="1"/>
  <c r="L62" i="1"/>
  <c r="J62" i="1"/>
  <c r="M62" i="1" s="1"/>
  <c r="N62" i="1" s="1"/>
  <c r="L58" i="1"/>
  <c r="J58" i="1"/>
  <c r="M58" i="1"/>
  <c r="N58" i="1" s="1"/>
  <c r="L51" i="1"/>
  <c r="J51" i="1"/>
  <c r="M51" i="1" s="1"/>
  <c r="J49" i="1"/>
  <c r="M49" i="1" s="1"/>
  <c r="N49" i="1" s="1"/>
  <c r="L49" i="1"/>
  <c r="L50" i="1"/>
  <c r="J50" i="1"/>
  <c r="M50" i="1" s="1"/>
  <c r="N50" i="1" s="1"/>
  <c r="J41" i="1"/>
  <c r="M41" i="1" s="1"/>
  <c r="N41" i="1" s="1"/>
  <c r="L41" i="1"/>
  <c r="J42" i="1"/>
  <c r="M42" i="1"/>
  <c r="N42" i="1" s="1"/>
  <c r="L406" i="1"/>
  <c r="J406" i="1"/>
  <c r="M406" i="1" s="1"/>
  <c r="N406" i="1" s="1"/>
  <c r="J405" i="1"/>
  <c r="M405" i="1" s="1"/>
  <c r="N405" i="1" s="1"/>
  <c r="L405" i="1"/>
  <c r="J38" i="1"/>
  <c r="M38" i="1"/>
  <c r="N38" i="1" s="1"/>
  <c r="J61" i="1"/>
  <c r="M61" i="1" s="1"/>
  <c r="N61" i="1" s="1"/>
  <c r="J53" i="1"/>
  <c r="M53" i="1" s="1"/>
  <c r="N53" i="1" s="1"/>
  <c r="J36" i="1"/>
  <c r="M36" i="1" s="1"/>
  <c r="N36" i="1" s="1"/>
  <c r="G365" i="1" l="1"/>
  <c r="G340" i="1"/>
  <c r="K47" i="1"/>
  <c r="K18" i="1"/>
  <c r="G18" i="1"/>
  <c r="N395" i="1"/>
  <c r="G47" i="1"/>
  <c r="N394" i="1"/>
  <c r="L223" i="1"/>
  <c r="L201" i="1"/>
  <c r="L88" i="1"/>
  <c r="N393" i="1"/>
  <c r="N388" i="1"/>
  <c r="N385" i="1"/>
  <c r="N85" i="1"/>
  <c r="K230" i="1"/>
  <c r="K13" i="1"/>
  <c r="K93" i="1"/>
  <c r="N79" i="1"/>
  <c r="N404" i="1"/>
  <c r="L209" i="1"/>
  <c r="N81" i="1"/>
  <c r="G223" i="1"/>
  <c r="N363" i="1"/>
  <c r="N355" i="1"/>
  <c r="N247" i="1"/>
  <c r="N268" i="1"/>
  <c r="N206" i="1"/>
  <c r="N120" i="1"/>
  <c r="N48" i="1"/>
  <c r="L30" i="1"/>
  <c r="N256" i="1"/>
  <c r="L18" i="1"/>
  <c r="K223" i="1"/>
  <c r="G40" i="1"/>
  <c r="G39" i="1" s="1"/>
  <c r="N91" i="1"/>
  <c r="N101" i="1"/>
  <c r="N125" i="1"/>
  <c r="N157" i="1"/>
  <c r="N177" i="1"/>
  <c r="N392" i="1"/>
  <c r="N387" i="1"/>
  <c r="L383" i="1"/>
  <c r="N351" i="1"/>
  <c r="N243" i="1"/>
  <c r="N224" i="1"/>
  <c r="L102" i="1"/>
  <c r="G30" i="1"/>
  <c r="N189" i="1"/>
  <c r="N211" i="1"/>
  <c r="N219" i="1"/>
  <c r="N329" i="1"/>
  <c r="N386" i="1"/>
  <c r="N108" i="1"/>
  <c r="N51" i="1"/>
  <c r="N373" i="1"/>
  <c r="N251" i="1"/>
  <c r="L236" i="1"/>
  <c r="N228" i="1"/>
  <c r="N147" i="1"/>
  <c r="K30" i="1"/>
  <c r="N272" i="1"/>
  <c r="N333" i="1"/>
  <c r="N16" i="1"/>
  <c r="N23" i="1"/>
  <c r="N59" i="1"/>
  <c r="N97" i="1"/>
  <c r="N347" i="1"/>
  <c r="G383" i="1"/>
  <c r="N389" i="1"/>
  <c r="N44" i="1"/>
  <c r="L370" i="1"/>
  <c r="N359" i="1"/>
  <c r="G201" i="1"/>
  <c r="N202" i="1"/>
  <c r="N185" i="1"/>
  <c r="N181" i="1"/>
  <c r="N131" i="1"/>
  <c r="N84" i="1"/>
  <c r="N104" i="1"/>
  <c r="M102" i="1"/>
  <c r="N102" i="1" s="1"/>
  <c r="M18" i="1"/>
  <c r="N18" i="1" s="1"/>
  <c r="N19" i="1"/>
  <c r="M26" i="1"/>
  <c r="N26" i="1" s="1"/>
  <c r="N27" i="1"/>
  <c r="N226" i="1"/>
  <c r="M223" i="1"/>
  <c r="N223" i="1" s="1"/>
  <c r="N32" i="1"/>
  <c r="M30" i="1"/>
  <c r="N30" i="1" s="1"/>
  <c r="N14" i="1"/>
  <c r="M13" i="1"/>
  <c r="N13" i="1" s="1"/>
  <c r="K370" i="1"/>
  <c r="N335" i="1"/>
  <c r="N349" i="1"/>
  <c r="N74" i="1"/>
  <c r="N73" i="1"/>
  <c r="N75" i="1"/>
  <c r="G93" i="1"/>
  <c r="G92" i="1" s="1"/>
  <c r="G88" i="1"/>
  <c r="K102" i="1"/>
  <c r="N72" i="1"/>
  <c r="L40" i="1"/>
  <c r="M69" i="1"/>
  <c r="G35" i="1"/>
  <c r="G29" i="1" s="1"/>
  <c r="N220" i="1"/>
  <c r="K365" i="1"/>
  <c r="K151" i="1"/>
  <c r="K209" i="1"/>
  <c r="N339" i="1"/>
  <c r="G427" i="1"/>
  <c r="N71" i="1"/>
  <c r="N400" i="1"/>
  <c r="N419" i="1"/>
  <c r="K92" i="1"/>
  <c r="L163" i="1"/>
  <c r="K201" i="1"/>
  <c r="N327" i="1"/>
  <c r="N70" i="1"/>
  <c r="G291" i="1"/>
  <c r="N234" i="1"/>
  <c r="K345" i="1"/>
  <c r="N368" i="1"/>
  <c r="L375" i="1"/>
  <c r="L374" i="1" s="1"/>
  <c r="K375" i="1"/>
  <c r="K374" i="1" s="1"/>
  <c r="G345" i="1"/>
  <c r="N384" i="1"/>
  <c r="M383" i="1"/>
  <c r="N383" i="1" s="1"/>
  <c r="L93" i="1"/>
  <c r="L92" i="1" s="1"/>
  <c r="M93" i="1"/>
  <c r="M88" i="1"/>
  <c r="L118" i="1"/>
  <c r="N121" i="1"/>
  <c r="K68" i="1"/>
  <c r="K82" i="1"/>
  <c r="N168" i="1"/>
  <c r="K163" i="1"/>
  <c r="G163" i="1"/>
  <c r="N139" i="1"/>
  <c r="N144" i="1"/>
  <c r="K134" i="1"/>
  <c r="L68" i="1"/>
  <c r="L401" i="1"/>
  <c r="M68" i="1"/>
  <c r="M402" i="1"/>
  <c r="L345" i="1"/>
  <c r="M370" i="1"/>
  <c r="N370" i="1" s="1"/>
  <c r="N371" i="1"/>
  <c r="N367" i="1"/>
  <c r="M365" i="1"/>
  <c r="N365" i="1" s="1"/>
  <c r="N377" i="1"/>
  <c r="M375" i="1"/>
  <c r="N346" i="1"/>
  <c r="M345" i="1"/>
  <c r="N345" i="1" s="1"/>
  <c r="L151" i="1"/>
  <c r="G151" i="1"/>
  <c r="N153" i="1"/>
  <c r="N150" i="1"/>
  <c r="M149" i="1"/>
  <c r="N149" i="1" s="1"/>
  <c r="M151" i="1"/>
  <c r="N151" i="1" s="1"/>
  <c r="N152" i="1"/>
  <c r="M163" i="1"/>
  <c r="N163" i="1" s="1"/>
  <c r="N164" i="1"/>
  <c r="M161" i="1"/>
  <c r="N161" i="1" s="1"/>
  <c r="N162" i="1"/>
  <c r="G134" i="1"/>
  <c r="K118" i="1"/>
  <c r="K117" i="1" s="1"/>
  <c r="G122" i="1"/>
  <c r="G118" i="1"/>
  <c r="L122" i="1"/>
  <c r="N123" i="1"/>
  <c r="M122" i="1"/>
  <c r="N122" i="1" s="1"/>
  <c r="M115" i="1"/>
  <c r="N115" i="1" s="1"/>
  <c r="N116" i="1"/>
  <c r="G106" i="1"/>
  <c r="M118" i="1"/>
  <c r="M401" i="1"/>
  <c r="N401" i="1" s="1"/>
  <c r="K401" i="1"/>
  <c r="L69" i="1"/>
  <c r="L419" i="1"/>
  <c r="L412" i="1" s="1"/>
  <c r="N132" i="1"/>
  <c r="K340" i="1"/>
  <c r="L47" i="1"/>
  <c r="M40" i="1"/>
  <c r="N40" i="1" s="1"/>
  <c r="N43" i="1"/>
  <c r="N60" i="1"/>
  <c r="L402" i="1"/>
  <c r="M37" i="1"/>
  <c r="M35" i="1" s="1"/>
  <c r="N35" i="1" s="1"/>
  <c r="G402" i="1"/>
  <c r="G396" i="1" s="1"/>
  <c r="K37" i="1"/>
  <c r="K35" i="1" s="1"/>
  <c r="L37" i="1"/>
  <c r="L35" i="1" s="1"/>
  <c r="G69" i="1"/>
  <c r="G64" i="1" s="1"/>
  <c r="K69" i="1"/>
  <c r="G173" i="1"/>
  <c r="G172" i="1" s="1"/>
  <c r="N180" i="1"/>
  <c r="N179" i="1"/>
  <c r="N186" i="1"/>
  <c r="L173" i="1"/>
  <c r="N196" i="1"/>
  <c r="N200" i="1"/>
  <c r="N192" i="1"/>
  <c r="K173" i="1"/>
  <c r="L67" i="1"/>
  <c r="N284" i="1"/>
  <c r="N337" i="1"/>
  <c r="G325" i="1"/>
  <c r="L325" i="1"/>
  <c r="K325" i="1"/>
  <c r="N331" i="1"/>
  <c r="N297" i="1"/>
  <c r="N302" i="1"/>
  <c r="N293" i="1"/>
  <c r="G315" i="1"/>
  <c r="N323" i="1"/>
  <c r="L315" i="1"/>
  <c r="N298" i="1"/>
  <c r="N307" i="1"/>
  <c r="G236" i="1"/>
  <c r="K236" i="1"/>
  <c r="N239" i="1"/>
  <c r="N244" i="1"/>
  <c r="N264" i="1"/>
  <c r="N260" i="1"/>
  <c r="N280" i="1"/>
  <c r="N276" i="1"/>
  <c r="G253" i="1"/>
  <c r="L253" i="1"/>
  <c r="N279" i="1"/>
  <c r="K253" i="1"/>
  <c r="N174" i="1"/>
  <c r="M173" i="1"/>
  <c r="K107" i="1"/>
  <c r="L427" i="1"/>
  <c r="L424" i="1" s="1"/>
  <c r="K427" i="1"/>
  <c r="K424" i="1" s="1"/>
  <c r="K412" i="1"/>
  <c r="N423" i="1"/>
  <c r="G412" i="1"/>
  <c r="L407" i="1"/>
  <c r="G407" i="1"/>
  <c r="K407" i="1"/>
  <c r="N410" i="1"/>
  <c r="M407" i="1"/>
  <c r="M412" i="1"/>
  <c r="N413" i="1"/>
  <c r="N434" i="1"/>
  <c r="M433" i="1"/>
  <c r="N433" i="1" s="1"/>
  <c r="M427" i="1"/>
  <c r="N429" i="1"/>
  <c r="N397" i="1"/>
  <c r="K303" i="1"/>
  <c r="N320" i="1"/>
  <c r="N289" i="1"/>
  <c r="L303" i="1"/>
  <c r="K291" i="1"/>
  <c r="K283" i="1"/>
  <c r="N294" i="1"/>
  <c r="L291" i="1"/>
  <c r="G303" i="1"/>
  <c r="N285" i="1"/>
  <c r="N311" i="1"/>
  <c r="L283" i="1"/>
  <c r="K315" i="1"/>
  <c r="N324" i="1"/>
  <c r="N287" i="1"/>
  <c r="M283" i="1"/>
  <c r="M236" i="1"/>
  <c r="N237" i="1"/>
  <c r="N254" i="1"/>
  <c r="M253" i="1"/>
  <c r="M315" i="1"/>
  <c r="N316" i="1"/>
  <c r="M291" i="1"/>
  <c r="N291" i="1" s="1"/>
  <c r="N292" i="1"/>
  <c r="M303" i="1"/>
  <c r="N303" i="1" s="1"/>
  <c r="N304" i="1"/>
  <c r="G283" i="1"/>
  <c r="G230" i="1"/>
  <c r="L230" i="1"/>
  <c r="M325" i="1"/>
  <c r="N325" i="1" s="1"/>
  <c r="K127" i="1"/>
  <c r="K112" i="1"/>
  <c r="M67" i="1"/>
  <c r="K67" i="1"/>
  <c r="G127" i="1"/>
  <c r="L127" i="1"/>
  <c r="N342" i="1"/>
  <c r="M340" i="1"/>
  <c r="N340" i="1" s="1"/>
  <c r="M230" i="1"/>
  <c r="N231" i="1"/>
  <c r="N133" i="1"/>
  <c r="N129" i="1"/>
  <c r="M127" i="1"/>
  <c r="N127" i="1" s="1"/>
  <c r="E236" i="19"/>
  <c r="I66" i="1"/>
  <c r="N425" i="1"/>
  <c r="M424" i="1"/>
  <c r="N424" i="1" s="1"/>
  <c r="M209" i="1"/>
  <c r="N209" i="1" s="1"/>
  <c r="N210" i="1"/>
  <c r="M201" i="1"/>
  <c r="N407" i="1" l="1"/>
  <c r="L172" i="1"/>
  <c r="L39" i="1"/>
  <c r="L29" i="1" s="1"/>
  <c r="K29" i="1"/>
  <c r="N427" i="1"/>
  <c r="N315" i="1"/>
  <c r="K172" i="1"/>
  <c r="N88" i="1"/>
  <c r="G117" i="1"/>
  <c r="L117" i="1"/>
  <c r="M92" i="1"/>
  <c r="N92" i="1" s="1"/>
  <c r="N93" i="1"/>
  <c r="L396" i="1"/>
  <c r="L382" i="1" s="1"/>
  <c r="N396" i="1"/>
  <c r="N375" i="1"/>
  <c r="M374" i="1"/>
  <c r="N374" i="1" s="1"/>
  <c r="N118" i="1"/>
  <c r="M117" i="1"/>
  <c r="N402" i="1"/>
  <c r="K64" i="1"/>
  <c r="K106" i="1"/>
  <c r="M39" i="1"/>
  <c r="N47" i="1"/>
  <c r="N173" i="1"/>
  <c r="N283" i="1"/>
  <c r="L229" i="1"/>
  <c r="N236" i="1"/>
  <c r="K229" i="1"/>
  <c r="N253" i="1"/>
  <c r="E250" i="19"/>
  <c r="L110" i="1" s="1"/>
  <c r="L107" i="1" s="1"/>
  <c r="K382" i="1"/>
  <c r="N412" i="1"/>
  <c r="G382" i="1"/>
  <c r="G229" i="1"/>
  <c r="N230" i="1"/>
  <c r="J66" i="1"/>
  <c r="M66" i="1" s="1"/>
  <c r="L66" i="1"/>
  <c r="L64" i="1" s="1"/>
  <c r="M229" i="1"/>
  <c r="E240" i="19"/>
  <c r="E244" i="19" s="1"/>
  <c r="N201" i="1"/>
  <c r="M172" i="1"/>
  <c r="N172" i="1" s="1"/>
  <c r="N117" i="1" l="1"/>
  <c r="M382" i="1"/>
  <c r="N382" i="1" s="1"/>
  <c r="G435" i="1"/>
  <c r="K3" i="1" s="1"/>
  <c r="K4" i="1"/>
  <c r="N39" i="1"/>
  <c r="M29" i="1"/>
  <c r="N29" i="1" s="1"/>
  <c r="N229" i="1"/>
  <c r="L86" i="1"/>
  <c r="J86" i="1"/>
  <c r="M86" i="1" s="1"/>
  <c r="N86" i="1" s="1"/>
  <c r="L113" i="1"/>
  <c r="J113" i="1"/>
  <c r="M113" i="1" s="1"/>
  <c r="N113" i="1" s="1"/>
  <c r="J110" i="1"/>
  <c r="M110" i="1" s="1"/>
  <c r="N110" i="1" s="1"/>
  <c r="L138" i="1"/>
  <c r="L134" i="1" s="1"/>
  <c r="N66" i="1"/>
  <c r="M64" i="1"/>
  <c r="N64" i="1" s="1"/>
  <c r="L114" i="1"/>
  <c r="J114" i="1"/>
  <c r="M114" i="1" s="1"/>
  <c r="E233" i="19"/>
  <c r="E237" i="19" s="1"/>
  <c r="J83" i="1"/>
  <c r="M83" i="1" s="1"/>
  <c r="N83" i="1" s="1"/>
  <c r="L112" i="1" l="1"/>
  <c r="L106" i="1" s="1"/>
  <c r="J138" i="1"/>
  <c r="M138" i="1" s="1"/>
  <c r="N138" i="1" s="1"/>
  <c r="M107" i="1"/>
  <c r="N107" i="1" s="1"/>
  <c r="N114" i="1"/>
  <c r="M112" i="1"/>
  <c r="M82" i="1"/>
  <c r="N82" i="1" s="1"/>
  <c r="L83" i="1"/>
  <c r="L82" i="1" s="1"/>
  <c r="L435" i="1" l="1"/>
  <c r="K5" i="1" s="1"/>
  <c r="M134" i="1"/>
  <c r="N134" i="1" s="1"/>
  <c r="N112" i="1"/>
  <c r="M106" i="1"/>
  <c r="N106" i="1" s="1"/>
  <c r="M435" i="1" l="1"/>
  <c r="K6" i="1" s="1"/>
  <c r="K7" i="1" s="1"/>
</calcChain>
</file>

<file path=xl/sharedStrings.xml><?xml version="1.0" encoding="utf-8"?>
<sst xmlns="http://schemas.openxmlformats.org/spreadsheetml/2006/main" count="3638" uniqueCount="1747">
  <si>
    <t>OBRA: CONSTRUÇÃO E REFORMA DA NOVA SEDE DA CÂMARA MUNICIPAL DE JOÃO PESSOA - PB</t>
  </si>
  <si>
    <t>Valor do contrato inicial:</t>
  </si>
  <si>
    <t>LOCAL: RUA DAS TRINCHEIRAS, CENTRO, JOÃO PESSOA/PB</t>
  </si>
  <si>
    <t>Valor medido acumulado anterior:</t>
  </si>
  <si>
    <t>EMPRESA: SG INCORPORAÇÃO, CONSTRUÇÃO E PLANEJAMENTO LTDA</t>
  </si>
  <si>
    <t>Valor medição atual:</t>
  </si>
  <si>
    <t>CONTRATO 35/2023</t>
  </si>
  <si>
    <t>Valor medido acumulado atual:</t>
  </si>
  <si>
    <t>CONCORRÊNCIA 02/2023</t>
  </si>
  <si>
    <t>Valor do saldo contratual:</t>
  </si>
  <si>
    <t>PLANILHA DE MEDIÇÃO</t>
  </si>
  <si>
    <t>ITEM</t>
  </si>
  <si>
    <t>DESCRIÇÃO</t>
  </si>
  <si>
    <t>UND</t>
  </si>
  <si>
    <t>CONTRATUAL</t>
  </si>
  <si>
    <t>QUANTIDADE</t>
  </si>
  <si>
    <t>VALOR</t>
  </si>
  <si>
    <t>QUANT.</t>
  </si>
  <si>
    <t>Valor Unit</t>
  </si>
  <si>
    <t>VALOR UNIT. C/ BDI</t>
  </si>
  <si>
    <t>TOTAL</t>
  </si>
  <si>
    <t>ANTERIOR</t>
  </si>
  <si>
    <t>ATUAL</t>
  </si>
  <si>
    <t>ACUMULADO</t>
  </si>
  <si>
    <t xml:space="preserve"> 1 </t>
  </si>
  <si>
    <t>ADMINISTRAÇÃO LOCAL DA OBRA</t>
  </si>
  <si>
    <t xml:space="preserve"> 1.1 </t>
  </si>
  <si>
    <t>ADMINISTRAÇÃO LOCAL DE OBRA</t>
  </si>
  <si>
    <t>UN</t>
  </si>
  <si>
    <t xml:space="preserve"> 1.2 </t>
  </si>
  <si>
    <t>FORNECIMENTO E INSTALAÇÃO DE PLACA DE OBRA COM CHAPA GALVANIZADA E ESTRUTURA DE MADEIRA. AF_03/2022_PS</t>
  </si>
  <si>
    <t>M²</t>
  </si>
  <si>
    <t xml:space="preserve"> 1.3 </t>
  </si>
  <si>
    <t>TAXA DO CREA PARA OBRA OU SERVIÇO</t>
  </si>
  <si>
    <t xml:space="preserve"> 1.4 </t>
  </si>
  <si>
    <t>"AS BUILT" DOS PROJETOS EXECUTADOS</t>
  </si>
  <si>
    <t xml:space="preserve"> 2 </t>
  </si>
  <si>
    <t>SERVIÇOS PRELIMINARES / CANTEIRO DE OBRAS</t>
  </si>
  <si>
    <t xml:space="preserve"> 2.1 </t>
  </si>
  <si>
    <t>EXECUÇÃO DE REFEITÓRIO EM CANTEIRO DE OBRA EM ALVENARIA, NÃO INCLUSO MOBILIÁRIO E EQUIPAMENTOS. AF_02/2016</t>
  </si>
  <si>
    <t xml:space="preserve"> 2.2 </t>
  </si>
  <si>
    <t>EXECUÇÃO DE SANITÁRIO E VESTIÁRIO EM CANTEIRO DE OBRA EM ALVENARIA, NÃO INCLUSO MOBILIÁRIO. AF_02/2016</t>
  </si>
  <si>
    <t xml:space="preserve"> 2.3 </t>
  </si>
  <si>
    <t>EXECUÇÃO DE ALMOXARIFADO EM CANTEIRO DE OBRA EM ALVENARIA, INCLUSO PRATELEIRAS. AF_02/2016</t>
  </si>
  <si>
    <t xml:space="preserve"> 2.4 </t>
  </si>
  <si>
    <t>LOCACAO CONVENCIONAL DE OBRA, UTILIZANDO GABARITO DE TÁBUAS CORRIDAS PONTALETADAS A CADA 2,00M -  2 UTILIZAÇÕES. AF_10/2018</t>
  </si>
  <si>
    <t>M</t>
  </si>
  <si>
    <t xml:space="preserve"> 2.5 </t>
  </si>
  <si>
    <t>TAPUME COM TELHA METÁLICA. AF_05/2018</t>
  </si>
  <si>
    <t xml:space="preserve"> 2.6 </t>
  </si>
  <si>
    <t>LIMPEZA MECANIZADA DE CAMADA VEGETAL, VEGETAÇÃO E PEQUENAS ÁRVORES (DIÂMETRO DE TRONCO MENOR QUE 0,20 M), COM TRATOR DE ESTEIRAS.AF_05/2018</t>
  </si>
  <si>
    <t xml:space="preserve"> 2.7 </t>
  </si>
  <si>
    <t>LIGAÇÃO PREDIAL DE ÁGUA EM MURETA DE CONCRETO, PROVISÓRIA OU DEFINITIVA, COM FORNECIMENTO DE MATERIAL, INCLUSIVE MURETA E HIDRÕMETRO, REDE DN 50MM - REV 03_10/2022</t>
  </si>
  <si>
    <t xml:space="preserve"> 3 </t>
  </si>
  <si>
    <t>DEMOLIÇÕES</t>
  </si>
  <si>
    <t xml:space="preserve"> 3.1 </t>
  </si>
  <si>
    <t>DEMOLIÇÃO PARCIAL DE PAVIMENTO ASFÁLTICO, DE FORMA MECANIZADA, SEM REAPROVEITAMENTO. AF_12/2017</t>
  </si>
  <si>
    <t xml:space="preserve"> 3.2</t>
  </si>
  <si>
    <t>DEMOLIÇÃO DE ALVENARIA DE BLOCO FURADO, DE FORMA MANUAL, SEM REAPROVEITAMENTO. AF_12/2017</t>
  </si>
  <si>
    <t>M³</t>
  </si>
  <si>
    <t xml:space="preserve"> 4 </t>
  </si>
  <si>
    <t>INFRAESTRUTURA</t>
  </si>
  <si>
    <t xml:space="preserve"> 4.1 </t>
  </si>
  <si>
    <t>MOVIMENTO DE TERRA</t>
  </si>
  <si>
    <t xml:space="preserve"> 4.1.1 </t>
  </si>
  <si>
    <t>ESCAVAÇÃO HORIZONTAL, INCLUINDO ESCARIFICAÇÃO, CARGA, DESCARGA E TRANSPORTE EM SOLO DE 2A CATEGORIA COM TRATOR DE ESTEIRAS (150HP/LÂMINA: 3,18M3) E CAMINHÃO BASCULANTE DE 10M3, DMT ATÉ 200M. AF_07/2020</t>
  </si>
  <si>
    <t xml:space="preserve"> 4.1.2 </t>
  </si>
  <si>
    <t>ESCAVAÇÃO VERTICAL PARA  EDIFICAÇÃO, COM CARGA, DESCARGA E TRANSPORTE DE SOLO DE 1ª CATEGORIA, COM ESCAVADEIRA HIDRÁULICA (CAÇAMBA: 0,8 M³ / 111HP), FROTA DE 9 CAMINHÕES BASCULANTES DE 10 M³, DMT DE 6 KM E VELOCIDADE MÉDIA 22 KM/H. AF_05/2020</t>
  </si>
  <si>
    <t xml:space="preserve"> 4.1.3 </t>
  </si>
  <si>
    <t>TRANSPORTE COM CAMINHÃO BASCULANTE DE 10 M³, EM VIA URBANA PAVIMENTADA, DMT ATÉ 30 KM (UNIDADE: M3XKM). AF_07/2020</t>
  </si>
  <si>
    <t>M3XKM</t>
  </si>
  <si>
    <t xml:space="preserve"> 4.1.4 </t>
  </si>
  <si>
    <t>CARGA, MANOBRA E DESCARGA DE SOLOS E MATERIAIS GRANULARES EM CAMINHÃO BASCULANTE 10 M³ - CARGA COM PÁ CARREGADEIRA (CAÇAMBA DE 1,7 A 2,8 M³ / 128 HP) E DESCARGA LIVRE (UNIDADE: M3). AF_07/2020</t>
  </si>
  <si>
    <t xml:space="preserve"> 4.2 </t>
  </si>
  <si>
    <t>CORTINA DE CONTENÇÃO</t>
  </si>
  <si>
    <t xml:space="preserve"> 4.2.1 </t>
  </si>
  <si>
    <t>CORTINA DE CONTENÇÃO, BASE CIRCULAR DIÂMETRO 0.30M EM CONCRETO BOMBEÁVEL, INCLUSIVE FERRAGEM, CONCRETO, LANÇAMENTO COM BOMBA [BASEADO EM SINAPI 100651]</t>
  </si>
  <si>
    <t xml:space="preserve"> 4.2.2 </t>
  </si>
  <si>
    <t>ARMAÇÃO DE CINTA DE ALVENARIA ESTRUTURAL; DIÂMETRO DE 10,0 MM. AF_09/2021</t>
  </si>
  <si>
    <t>KG</t>
  </si>
  <si>
    <t xml:space="preserve"> 4.2.3 </t>
  </si>
  <si>
    <t>ARMAÇÃO UTILIZANDO AÇO CA-25 DE 6,3 MM - MONTAGEM. AF_06/2022</t>
  </si>
  <si>
    <t xml:space="preserve"> 4.3 </t>
  </si>
  <si>
    <t>FUNDAÇÃO</t>
  </si>
  <si>
    <t xml:space="preserve"> 4.3.1 </t>
  </si>
  <si>
    <t>ESTACAS</t>
  </si>
  <si>
    <t xml:space="preserve"> 4.3.1.1 </t>
  </si>
  <si>
    <t>ESTACA HÉLICE CONTÍNUA, DIÂMETRO DE 30 CM, INCLUSO CONCRETO FCK=30MPA E ARMADURA MÍNIMA (EXCLUSIVE MOBILIZAÇÃO, DESMOBILIZAÇÃO E BOMBEAMENTO). AF_12/2019</t>
  </si>
  <si>
    <t xml:space="preserve"> 4.3.1.2 </t>
  </si>
  <si>
    <t>LANÇAMENTO COM USO DE BOMBA, ADENSAMENTO E ACABAMENTO DE CONCRETO EM ESTRUTURAS. AF_02/2022</t>
  </si>
  <si>
    <t xml:space="preserve"> 4.3.2 </t>
  </si>
  <si>
    <t>BLOCO DE COROAMENTO/ VIGA BALDRAME</t>
  </si>
  <si>
    <t xml:space="preserve"> 4.3.2.1 </t>
  </si>
  <si>
    <t>CONCRETAGEM DE BLOCOS DE COROAMENTO E VIGAS BALDRAMES, FCK 30 MPA, COM USO DE BOMBA  LANÇAMENTO, ADENSAMENTO E ACABAMENTO. AF_06/2017</t>
  </si>
  <si>
    <t xml:space="preserve"> 4.3.2.2 </t>
  </si>
  <si>
    <t>ESCAVAÇÃO MANUAL PARA BLOCO DE COROAMENTO OU SAPATA (INCLUINDO ESCAVAÇÃO PARA COLOCAÇÃO DE FÔRMAS). AF_06/2017</t>
  </si>
  <si>
    <t xml:space="preserve"> 4.3.2.3 </t>
  </si>
  <si>
    <t>FABRICAÇÃO, MONTAGEM E DESMONTAGEM DE FÔRMA PARA BLOCO DE COROAMENTO, EM CHAPA DE MADEIRA COMPENSADA RESINADA, E=17 MM, 4 UTILIZAÇÕES. AF_06/2017</t>
  </si>
  <si>
    <t xml:space="preserve"> 4.3.2.4 </t>
  </si>
  <si>
    <t>ESCAVAÇÃO MANUAL DE VALA COM PROFUNDIDADE MENOR OU IGUAL A 1,30 M. AF_02/2021</t>
  </si>
  <si>
    <t xml:space="preserve"> 4.3.2.5 </t>
  </si>
  <si>
    <t>CAMADA SEPARADORA PARA EXECUÇÃO DE RADIER, PISO DE CONCRETO OU LAJE SOBRE SOLO, EM LONA PLÁSTICA. AF_09/2021</t>
  </si>
  <si>
    <t xml:space="preserve"> 4.3.2.6 </t>
  </si>
  <si>
    <t>ARMAÇÃO DE PILAR OU VIGA DE ESTRUTURA CONVENCIONAL DE CONCRETO ARMADO UTILIZANDO AÇO CA-50 DE 10,0 MM - MONTAGEM. AF_06/2022</t>
  </si>
  <si>
    <t xml:space="preserve"> 4.3.2.7 </t>
  </si>
  <si>
    <t>ARMAÇÃO DE BLOCO, VIGA BALDRAME OU SAPATA UTILIZANDO AÇO CA-50 DE 12,5 MM - MONTAGEM. AF_06/2017</t>
  </si>
  <si>
    <t xml:space="preserve"> 4.3.2.8 </t>
  </si>
  <si>
    <t>ARMAÇÃO DE BLOCO, VIGA BALDRAME OU SAPATA UTILIZANDO AÇO CA-50 DE 16 MM - MONTAGEM. AF_06/2017</t>
  </si>
  <si>
    <t xml:space="preserve"> 4.3.2.9 </t>
  </si>
  <si>
    <t>ARMAÇÃO DE BLOCO, VIGA BALDRAME OU SAPATA UTILIZANDO AÇO CA-50 DE 6,3 MM - MONTAGEM. AF_06/2017</t>
  </si>
  <si>
    <t xml:space="preserve"> 4.3.2.10 </t>
  </si>
  <si>
    <t>CONCRETO MAGRO PARA LASTRO, TRAÇO 1:4,5:4,5 (EM MASSA SECA DE CIMENTO/ AREIA MÉDIA/ BRITA 1) - PREPARO MANUAL. AF_05/2021</t>
  </si>
  <si>
    <t xml:space="preserve"> 4.3.2.11 </t>
  </si>
  <si>
    <t>ARMAÇÃO DE BLOCO, VIGA BALDRAME OU SAPATA UTILIZANDO AÇO CA-50 DE 20 MM - MONTAGEM. AF_06/2017</t>
  </si>
  <si>
    <t xml:space="preserve"> 4.3.2.12 </t>
  </si>
  <si>
    <t>ARMAÇÃO DE BLOCO, VIGA BALDRAME OU SAPATA UTILIZANDO AÇO CA-50 DE 25 MM - MONTAGEM. AF_06/2017</t>
  </si>
  <si>
    <t xml:space="preserve"> 4.3.2.13 </t>
  </si>
  <si>
    <t>ARMAÇÃO DE BLOCO, VIGA BALDRAME OU SAPATA UTILIZANDO AÇO CA-50 DE 8 MM - MONTAGEM. AF_06/2017</t>
  </si>
  <si>
    <t xml:space="preserve"> 4.3.2.14 </t>
  </si>
  <si>
    <t>ARMAÇÃO DE BLOCO, VIGA BALDRAME E SAPATA UTILIZANDO AÇO CA-60 DE 5 MM - MONTAGEM. AF_06/2017</t>
  </si>
  <si>
    <t xml:space="preserve"> 5 </t>
  </si>
  <si>
    <t>ESTRUTURAS</t>
  </si>
  <si>
    <t xml:space="preserve"> 5.1 </t>
  </si>
  <si>
    <t>ARMAÇÃO PARA EXECUÇÃO DE RADIER, PISO DE CONCRETO OU LAJE SOBRE SOLO, COM USO DE TELA Q-92. AF_09/2021</t>
  </si>
  <si>
    <t xml:space="preserve"> 5.2 </t>
  </si>
  <si>
    <t>COMPOSIÇÃO PARAMÉTRICA PARA FORNECIMENTO E MONTAGEM DE ESTRUTURA METÁLICA PARA ESTRUTURA PRINCIPAL DE EDIFICAÇÕES (PILARES, VIGAS E CONTRAVENTAMENTO). AF_11/2022</t>
  </si>
  <si>
    <t xml:space="preserve"> 5.3 </t>
  </si>
  <si>
    <t>LAJE TIPO MACIÇA PREMOLDADA PARA PISO CARGA 350kg/m2 VAO 3,5m ALTURA E SOBRECARGA ,CONFORME PROJETO INSTALADA</t>
  </si>
  <si>
    <t xml:space="preserve"> 5.4 </t>
  </si>
  <si>
    <t>(MODIFICADO) PLACA DE , (POLIESTIRENO EXPANDIDO/EPS (ISOPOR), TIPO 2F, BLOCO) APLICADO</t>
  </si>
  <si>
    <t xml:space="preserve"> 5.5 </t>
  </si>
  <si>
    <t>CONCRETAGEM DE EDIFICAÇÕES (PAREDES E LAJES) , COM CONCRETO USINADO BOMBEÁVEL FCK 30 MPA - LANÇAMENTO, ADENSAMENTO E ACABAMENTO</t>
  </si>
  <si>
    <t xml:space="preserve"> 6 </t>
  </si>
  <si>
    <t>ALVENARIA E VEDAÇÃO/ DIVISÓRIAS</t>
  </si>
  <si>
    <t xml:space="preserve"> 6.1 </t>
  </si>
  <si>
    <t>ALVENARIA DE VEDAÇÃO DE BLOCOS CERÂMICOS FURADOS NA VERTICAL DE 9X19X39 CM (ESPESSURA 9 CM) E ARGAMASSA DE ASSENTAMENTO COM PREPARO EM BETONEIRA. AF_12/2021</t>
  </si>
  <si>
    <t xml:space="preserve"> 6.2 </t>
  </si>
  <si>
    <t>(modificado)PAREDE COM PLACAS DE GESSO ACARTONADO (DRYWALL), (COM INSTALAÇÃO DE LÃ DE VIDRO),PARA USO INTERNO COM DUAS FACES DUPLAS E ESTRUTURA METÁLICA COM GUIAS DUPLAS, SEM VÃOS. AF_06/2017</t>
  </si>
  <si>
    <t xml:space="preserve"> 6.3 </t>
  </si>
  <si>
    <t>DIVISORIA SANITÁRIA, TIPO CABINE, EM GRANITO CINZA POLIDO, ESP = 3CM, ASSENTADO COM ARGAMASSA COLANTE AC III-E, EXCLUSIVE FERRAGENS. AF_01/2021</t>
  </si>
  <si>
    <t xml:space="preserve"> 6.4 </t>
  </si>
  <si>
    <t>ALVENARIA DE VEDAÇÃO DE BLOCOS CERÂMICOS FURADOS NA HORIZONTAL DE 14X9X19 CM (ESPESSURA 14 CM, BLOCO DEITADO) E ARGAMASSA DE ASSENTAMENTO COM PREPARO MANUAL. AF_12/2021</t>
  </si>
  <si>
    <t xml:space="preserve"> 6.5 </t>
  </si>
  <si>
    <t>DIVISÓRIA FIXA EM VIDRO TEMPERADO 10 MM, SEM ABERTURA. AF_01/2021_PS</t>
  </si>
  <si>
    <t xml:space="preserve"> 7 </t>
  </si>
  <si>
    <t>JUNTA DE DILATAÇÃO</t>
  </si>
  <si>
    <t xml:space="preserve"> 7.1 </t>
  </si>
  <si>
    <t>TRATAMENTO DE JUNTA DE DILATAÇÃO, COM TARUGO DE POLIETILENO E SELANTE PU, INCLUSO PREENCHIMENTO COM ESPUMA EXPANSIVA PU. AF_06/2018</t>
  </si>
  <si>
    <t xml:space="preserve"> 7.2 </t>
  </si>
  <si>
    <t>JUNTA DE DILATAÇÃO PARA APLICAÇÃO EM PISO DE CONCRETO</t>
  </si>
  <si>
    <t xml:space="preserve"> 7.3 </t>
  </si>
  <si>
    <t>IMPERMEABILIZAÇÃO DE JUNTA DE DILATAÇÃO (FACHADA)</t>
  </si>
  <si>
    <t xml:space="preserve"> 8 </t>
  </si>
  <si>
    <t>AR CONDICIONADO</t>
  </si>
  <si>
    <t xml:space="preserve"> 8.1 </t>
  </si>
  <si>
    <t>MATERIAIS (TUBULAÇÃO DE COBRE)</t>
  </si>
  <si>
    <t xml:space="preserve"> 8.1.1 </t>
  </si>
  <si>
    <t>TUBO EM COBRE FLEXÍVEL, DN 1/4", COM ISOLAMENTO, INSTALADO EM FORRO, PARA RAMAL DE ALIMENTAÇÃO DE AR CONDICIONADO, INCLUSO FIXADOR. AF_11/2021</t>
  </si>
  <si>
    <t xml:space="preserve"> 8.1.2 </t>
  </si>
  <si>
    <t>TUBO EM COBRE FLEXÍVEL, DN 1/2", COM ISOLAMENTO, INSTALADO EM FORRO, PARA RAMAL DE ALIMENTAÇÃO DE AR CONDICIONADO, INCLUSO FIXADOR. AF_11/2021</t>
  </si>
  <si>
    <t xml:space="preserve"> 8.1.3 </t>
  </si>
  <si>
    <t>TUBO EM COBRE FLEXÍVEL, DN 3/8", COM ISOLAMENTO, INSTALADO EM FORRO, PARA RAMAL DE ALIMENTAÇÃO DE AR CONDICIONADO, INCLUSO FIXADOR. AF_11/2021</t>
  </si>
  <si>
    <t xml:space="preserve"> 8.1.4 </t>
  </si>
  <si>
    <t>[BASEADO EM SINAPI 103290] TUBO EM COBRE FLEXÍVEL, DN 3/4", COM ISOLAMENTO, INSTALADO EM FORRO, PARA RAMAL DE ALIMENTAÇÃO DE AR CONDICIONADO, INCLUSO FIXADOR.</t>
  </si>
  <si>
    <t xml:space="preserve"> 8.1.5 </t>
  </si>
  <si>
    <t>TUBO EM COBRE FLEXÍVEL, DN 5/8", COM ISOLAMENTO, INSTALADO EM FORRO, PARA RAMAL DE ALIMENTAÇÃO DE AR CONDICIONADO, INCLUSO FIXADOR. AF_11/2021</t>
  </si>
  <si>
    <t xml:space="preserve"> 8.1.6 </t>
  </si>
  <si>
    <t>[BASEADO EM SINAPI 103292] TUBO EM COBRE FLEXÍVEL, DN 7/8", COM ISOLAMENTO, INSTALADO EM FORRO, PARA RAMAL DE ALIMENTAÇÃO DE AR CONDICIONADO, INCLUSO FIXADOR.</t>
  </si>
  <si>
    <t xml:space="preserve"> 8.1.7 </t>
  </si>
  <si>
    <t>[BASEADO EM SINAPI 103290] TUBO EM COBRE FLEXÍVEL, DN 1 5/8 ", COM ISOLAMENTO, INSTALADO EM FORRO, PARA RAMAL DE ALIMENTAÇÃO DE AR CONDICIONADO, INCLUSO FIXADOR</t>
  </si>
  <si>
    <t xml:space="preserve"> 8.1.8</t>
  </si>
  <si>
    <t>COLA PARA TUBOS E MANTAS ELASTOMERICAS, A BASE DE SOLVENTE</t>
  </si>
  <si>
    <t>L</t>
  </si>
  <si>
    <t xml:space="preserve"> 8.2 </t>
  </si>
  <si>
    <t>SISTEMA ELÉTRICO / LÓGICO</t>
  </si>
  <si>
    <t xml:space="preserve"> 8.2.1 </t>
  </si>
  <si>
    <t>ELETRODUTO DE PVC RIGIDO SOLDAVEL, CLASSE B, DE 25 MM</t>
  </si>
  <si>
    <t xml:space="preserve"> 8.2.2 </t>
  </si>
  <si>
    <t>ELETRODUTO EM ACO GALVANIZADO ELETROLITICO, SEMI-PESADO, DIAMETRO 1 1/2", PAREDE DE 1,20 MM</t>
  </si>
  <si>
    <t xml:space="preserve"> 8.2.3 </t>
  </si>
  <si>
    <t>CABO SHIELD BLINDADO 2 VIAS (2X1 mm) PARA SINAL 100 mts  INSTALADO EM ELETROCALHA OU PERFILADO - FORNECIMENTO E INSTALAÇÃO.</t>
  </si>
  <si>
    <t xml:space="preserve"> 9 </t>
  </si>
  <si>
    <t>REVESTIMENTO</t>
  </si>
  <si>
    <t xml:space="preserve"> 9.1 </t>
  </si>
  <si>
    <t>REVESTIMENTO INTERNO</t>
  </si>
  <si>
    <t xml:space="preserve"> 9.1.1 </t>
  </si>
  <si>
    <t>CHAPISCO APLICADO EM ALVENARIA (COM PRESENÇA DE VÃOS) E ESTRUTURAS DE CONCRETO DE FACHADA, COM ROLO PARA TEXTURA ACRÍLICA.  ARGAMASSA TRAÇO 1:4 E EMULSÃO POLIMÉRICA (ADESIVO) COM PREPARO EM BETONEIRA 400L. AF_10/2022</t>
  </si>
  <si>
    <t xml:space="preserve"> 9.1.2 </t>
  </si>
  <si>
    <t>MASSA ÚNICA, PARA RECEBIMENTO DE PINTURA, EM ARGAMASSA TRAÇO 1:2:8, PREPARO MECÂNICO COM BETONEIRA 400L, APLICADA MANUALMENTE EM FACES INTERNAS DE PAREDES, ESPESSURA DE 20MM, COM EXECUÇÃO DE TALISCAS. AF_06/2014</t>
  </si>
  <si>
    <t xml:space="preserve"> 9.1.3 </t>
  </si>
  <si>
    <t>REVESTIMENTO CERÂMICO PARA PAREDES INTERNAS COM PLACAS TIPO ESMALTADA EXTRA DE DIMENSÕES 60X60 CM APLICADAS NA ALTURA INTEIRA DAS PAREDES. AF_02/2023_PE</t>
  </si>
  <si>
    <t xml:space="preserve"> 9.1.4 </t>
  </si>
  <si>
    <t>RODAPÉ EM POLIESTIRENO, ALTURA 5 CM. AF_09/2020</t>
  </si>
  <si>
    <t xml:space="preserve"> 9.2 </t>
  </si>
  <si>
    <t>REVESTIMENTO EXTERNO</t>
  </si>
  <si>
    <t xml:space="preserve"> 9.2.1 </t>
  </si>
  <si>
    <t>EMBOÇO OU MASSA ÚNICA EM ARGAMASSA TRAÇO 1:2:8, PREPARO MANUAL, APLICADA MANUALMENTE EM PANOS CEGOS DE FACHADA (SEM PRESENÇA DE VÃOS), ESPESSURA DE 35 MM. AF_08/2022</t>
  </si>
  <si>
    <t xml:space="preserve"> 9.2.2 </t>
  </si>
  <si>
    <t>CHAPISCO APLICADO EM ALVENARIA (COM PRESENÇA DE VÃOS) E ESTRUTURAS DE CONCRETO DE FACHADA, COM COLHER DE PEDREIRO.  ARGAMASSA TRAÇO 1:3 COM PREPARO EM BETONEIRA 400L. AF_10/2022</t>
  </si>
  <si>
    <t xml:space="preserve"> 9.3 </t>
  </si>
  <si>
    <t>REVESTIMENTO ACÚSTICO</t>
  </si>
  <si>
    <t xml:space="preserve"> 9.3.1 </t>
  </si>
  <si>
    <t>PAINEL DE LA DE VIDRO SEM REVESTIMENTO PSI 20, E = 25 MM, DE 1200 X 600 MM</t>
  </si>
  <si>
    <t xml:space="preserve"> 10 </t>
  </si>
  <si>
    <t>PINTURA</t>
  </si>
  <si>
    <t xml:space="preserve"> 10.1 </t>
  </si>
  <si>
    <t>PINTURA INTERNA</t>
  </si>
  <si>
    <t xml:space="preserve"> 10.1.1 </t>
  </si>
  <si>
    <t>FUNDO SELADOR ACRÍLICO, APLICAÇÃO MANUAL EM PAREDE, UMA DEMÃO. AF_04/2023</t>
  </si>
  <si>
    <t xml:space="preserve"> 10.1.2 </t>
  </si>
  <si>
    <t>EMASSAMENTO COM MASSA LÁTEX, APLICAÇÃO EM PAREDE, DUAS DEMÃOS, LIXAMENTO MANUAL. AF_04/2023</t>
  </si>
  <si>
    <t xml:space="preserve"> 10.1.3 </t>
  </si>
  <si>
    <t>PINTURA LÁTEX ACRÍLICA PREMIUM, APLICAÇÃO MANUAL EM PAREDES, DUAS DEMÃOS. AF_04/2023</t>
  </si>
  <si>
    <t xml:space="preserve"> 10.2 </t>
  </si>
  <si>
    <t>PINTURA EXTERNA</t>
  </si>
  <si>
    <t xml:space="preserve"> 10.2.1 </t>
  </si>
  <si>
    <t>APLICAÇÃO MANUAL DE FUNDO SELADOR ACRÍLICO EM SUPERFÍCIES EXTERNAS DE SACADA DE EDIFÍCIOS DE MÚLTIPLOS PAVIMENTOS. AF_06/2014</t>
  </si>
  <si>
    <t xml:space="preserve"> 10.2.2 </t>
  </si>
  <si>
    <t>APLICAÇÃO MANUAL DE MASSA ACRÍLICA EM PANOS DE FACHADA COM PRESENÇA DE VÃOS, DE EDIFÍCIOS DE MÚLTIPLOS PAVIMENTOS, UMA DEMÃO. AF_05/2017</t>
  </si>
  <si>
    <t xml:space="preserve"> 10.2.3 </t>
  </si>
  <si>
    <t>APLICAÇÃO MANUAL DE PINTURA COM TINTA TEXTURIZADA ACRÍLICA EM SUPERFÍCIES EXTERNAS DE SACADA DE EDIFÍCIOS DE MÚLTIPLOS PAVIMENTOS, UMA COR. AF_06/2014</t>
  </si>
  <si>
    <t xml:space="preserve"> 10.2.4 </t>
  </si>
  <si>
    <t>PINTURA DE DEMARCAÇÃO DE VAGA COM TINTA EPÓXI, E = 10 CM, APLICAÇÃO MANUAL. AF_05/2021</t>
  </si>
  <si>
    <t xml:space="preserve"> 11 </t>
  </si>
  <si>
    <t>IMPERMEABILIZAÇÃO</t>
  </si>
  <si>
    <t xml:space="preserve"> 11.1 </t>
  </si>
  <si>
    <t>[BASEADO EM SINAPI 98546] IMPERMEABILIZAÇÃO DE SUPERFÍCIE COM MANTA ASFÁLTICA, UMA CAMADA, INCLUSIVE APLICAÇÃO DE PRIMER ASFÁLTICO, E=4MM.</t>
  </si>
  <si>
    <t xml:space="preserve"> 11.2 </t>
  </si>
  <si>
    <t>IMPERMEABILIZAÇÃO DE SUPERFÍCIE COM EMULSÃO ASFÁLTICA, 2 DEMÃOS AF_06/2018</t>
  </si>
  <si>
    <t xml:space="preserve"> 11.3 </t>
  </si>
  <si>
    <t>IMPERMEABILIZAÇÃO DE SUPERFÍCIE COM ARGAMASSA POLIMÉRICA / MEMBRANA ACRÍLICA, 4 DEMÃOS, REFORÇADA COM VÉU DE POLIÉSTER (MAV). AF_06/2018</t>
  </si>
  <si>
    <t xml:space="preserve"> 11.4 </t>
  </si>
  <si>
    <t>TRATAMENTO DE RALO OU PONTO EMERGENTE COM ARGAMASSA POLIMÉRICA / MEMBRANA ACRÍLICA REFORÇADO COM VÉU DE POLIÉSTER (MAV). AF_06/2018</t>
  </si>
  <si>
    <t xml:space="preserve"> 11.5 </t>
  </si>
  <si>
    <t>REPARO/COLAGEM DE ESTRUTURAS DE CONCRETO COM ADESIVO ESTRUTURAL A BASE DE EPOXI, E=2 MM</t>
  </si>
  <si>
    <t xml:space="preserve"> 11.6 </t>
  </si>
  <si>
    <t>CONTRAPISO EM ARGAMASSA TRAÇO 1:4 (CIMENTO E AREIA), PREPARO MANUAL, APLICADO EM ÁREAS SECAS SOBRE LAJE, ADERIDO, ACABAMENTO NÃO REFORÇADO, ESPESSURA 3CM. AF_07/2021</t>
  </si>
  <si>
    <t xml:space="preserve"> 12 </t>
  </si>
  <si>
    <t>PISO</t>
  </si>
  <si>
    <t xml:space="preserve"> 12.1 </t>
  </si>
  <si>
    <t>PISO VINÍLICO SEMI-FLEXÍVEL EM PLACAS, PADRÃO LISO, ESPESSURA 3,2 MM, FIXADO COM COLA. AF_09/2020</t>
  </si>
  <si>
    <t xml:space="preserve"> 12.2 </t>
  </si>
  <si>
    <t>REVESTIMENTO CERÂMICO PARA PISO COM PLACAS TIPO ESMALTADA EXTRA DE DIMENSÕES 60X60 CM APLICADA EM AMBIENTES DE ÁREA MENOR QUE 5 M2. AF_02/2023_PE</t>
  </si>
  <si>
    <t xml:space="preserve"> 12.3 </t>
  </si>
  <si>
    <t>PISO EM GRANITO APLICADO EM CALÇADAS OU PISOS EXTERNOS. AF_05/2020</t>
  </si>
  <si>
    <t xml:space="preserve"> 12.4 </t>
  </si>
  <si>
    <t>CONTRAPISO EM ARGAMASSA TRAÇO 1:4 (CIMENTO E AREIA), PREPARO MANUAL, APLICADO EM ÁREAS SECAS SOBRE LAJE, NÃO ADERIDO, ACABAMENTO NÃO REFORÇADO, ESPESSURA 6CM. AF_07/2021</t>
  </si>
  <si>
    <t xml:space="preserve"> 12.5 </t>
  </si>
  <si>
    <t>EXECUÇÃO DE PASSEIO (CALÇADA) OU PISO DE CONCRETO COM CONCRETO MOLDADO IN LOCO, USINADO C20, ACABAMENTO CONVENCIONAL, NÃO ARMADO. AF_08/2022</t>
  </si>
  <si>
    <t xml:space="preserve"> 12.6 </t>
  </si>
  <si>
    <t>PISO CIMENTADO, TRAÇO 1:3 (CIMENTO E AREIA), ACABAMENTO LISO, ESPESSURA 2,0 CM, PREPARO MECÂNICO DA ARGAMASSA. AF_09/2020</t>
  </si>
  <si>
    <t xml:space="preserve"> 12.7 </t>
  </si>
  <si>
    <t>PISO EM GRANITO APLICADO EM AMBIENTES INTERNOS. AF_09/2020</t>
  </si>
  <si>
    <t xml:space="preserve"> 12.8 </t>
  </si>
  <si>
    <t>PISO ELEVADO 18cm EM AGLOMERADO COM REVESTIMENTO EM CARPETE</t>
  </si>
  <si>
    <t xml:space="preserve"> 12.9 </t>
  </si>
  <si>
    <t>CONCRETAGEM DE RADIER, PISO DE CONCRETO OU LAJE SOBRE SOLO, FCK 30 MPA - LANÇAMENTO, ADENSAMENTO E ACABAMENTO. AF_09/2021</t>
  </si>
  <si>
    <t xml:space="preserve"> 12.10 </t>
  </si>
  <si>
    <t>ACABAMENTO POLIDO PARA PISO DE CONCRETO ARMADO OU LAJE SOBRE SOLO DE ALTA RESISTÊNCIA. AF_09/2021</t>
  </si>
  <si>
    <t xml:space="preserve"> 12.11 </t>
  </si>
  <si>
    <t>PISO PODOTÁTIL DE ALERTA OU DIRECIONAL, DE BORRACHA, ASSENTADO SOBRE ARGAMASSA. AF_05/2020</t>
  </si>
  <si>
    <t xml:space="preserve"> 12.12 </t>
  </si>
  <si>
    <t>PISO PODOTÁTIL DE ALERTA OU DIRECIONAL, DE CONCRETO, ASSENTADO SOBRE ARGAMASSA. AF_05/2023</t>
  </si>
  <si>
    <t xml:space="preserve"> 12.13 </t>
  </si>
  <si>
    <t xml:space="preserve"> 12.14 </t>
  </si>
  <si>
    <t>APLICAÇÃO DE LONA PLÁSTICA PARA EXECUÇÃO DE PAVIMENTOS DE CONCRETO. AF_04/2022</t>
  </si>
  <si>
    <t xml:space="preserve"> 13 </t>
  </si>
  <si>
    <t>FORRO</t>
  </si>
  <si>
    <t xml:space="preserve"> 13.1 </t>
  </si>
  <si>
    <t>FORRO DE FIBRA MINERAL EM PLACAS DE 625 X 625 MM, E = 15/16 MM, BORDA REBAIXADA, COM PINTURA ANTIMOFO, APOIADO EM PERFIL DE ACO GALVANIZADO COM 24 MM DE BASE - INSTALADO</t>
  </si>
  <si>
    <t xml:space="preserve"> 14 </t>
  </si>
  <si>
    <t>ESQUADRIAS</t>
  </si>
  <si>
    <t xml:space="preserve"> 14.1 </t>
  </si>
  <si>
    <t>PORTA DE CORRER DE VIDRO TEMPERADO DE 10 MM INCLUSIVE ACESSÓRIOS, DIMENSÕES (1,30 X 2,10) M ,  INCLUSIVE COMPLEMENTOS DE VIDRO TEMPERADO DE 10MM,  PARA FECHAMENTO., DIMENSÕES  (1,20 X 0,90)M</t>
  </si>
  <si>
    <t>UM</t>
  </si>
  <si>
    <t xml:space="preserve"> 14.2 </t>
  </si>
  <si>
    <t>PORTA DE ABRIR COM MOLA HIDRÁULICA, EM VIDRO TEMPERADO, 2 FOLHAS DE 90X210 CM, ESPESSURA DD 10MM, INCLUSIVE ACESSÓRIOS. AF_01/2021</t>
  </si>
  <si>
    <t xml:space="preserve"> 14.3 </t>
  </si>
  <si>
    <t>PORTA DE ABRIR COM MOLA HIDRÁULICA, EM VIDRO TEMPERADO, 90X210 CM, ESPESSURA 10 MM, INCLUSIVE ACESSÓRIOS. AF_01/2021</t>
  </si>
  <si>
    <t xml:space="preserve"> 14.4 </t>
  </si>
  <si>
    <t>[BASEADO EM SINAPI 102185] PORTA DE ABRIR COM MOLA HIDRÁULICA, EM VIDRO TEMPERADO, 2 FOLHAS DE 80X210 CM, ESPESSURA DD 10MM, INCLUSIVE ACESSÓRIOS.</t>
  </si>
  <si>
    <t xml:space="preserve"> 14.5</t>
  </si>
  <si>
    <t>BOX EM VIDRO LAMINADO 8mm COM PORTA O,85x1,80m PARA SANITARIO</t>
  </si>
  <si>
    <t xml:space="preserve"> 14.6</t>
  </si>
  <si>
    <t>KIT DE PORTA DE MADEIRA FRISADA, SEMI-OCA (LEVE OU MÉDIA), PADRÃO MÉDIO 60X210CM, ESPESSURA DE 3CM, ITENS INCLUSOS: DOBRADIÇAS, MONTAGEM E INSTALAÇÃO DO BATENTE, SEM FECHADURA - FORNECIMENTO E INSTALAÇÃO. AF_12/2019</t>
  </si>
  <si>
    <t xml:space="preserve"> 14.7</t>
  </si>
  <si>
    <t>KIT DE PORTA DE MADEIRA PARA PINTURA, SEMI-OCA (LEVE OU MÉDIA), PADRÃO MÉDIO, 80X210CM, ESPESSURA DE 3,5CM, ITENS INCLUSOS: DOBRADIÇAS, MONTAGEM E INSTALAÇÃO DO BATENTE, SEM FECHADURA - FORNECIMENTO E INSTALAÇÃO. AF_12/2019</t>
  </si>
  <si>
    <t xml:space="preserve"> 14.8</t>
  </si>
  <si>
    <t>KIT DE PORTA DE MADEIRA PARA PINTURA, SEMI-OCA (LEVE OU MÉDIA), PADRÃO MÉDIO, 90X210CM, ESPESSURA DE 3,5CM, ITENS INCLUSOS: DOBRADIÇAS, MONTAGEM E INSTALAÇÃO DO BATENTE, FECHADURA COM EXECUÇÃO DO FURO - FORNECIMENTO E INSTALAÇÃO. AF_12/2019</t>
  </si>
  <si>
    <t xml:space="preserve"> 14.9</t>
  </si>
  <si>
    <t>JANELA DE ALUMÍNIO TIPO MAXIM-AR, COM VIDROS REFLETIVO , BATENTE E FERRAGENS. EXCLUSIVE ALIZAR, ACABAMENTO E CONTRAMARCO. FORNECIMENTO E INSTALAÇÃO. AF_12/2019</t>
  </si>
  <si>
    <t xml:space="preserve"> 15 </t>
  </si>
  <si>
    <t>CORTINA DE VIDRO</t>
  </si>
  <si>
    <t xml:space="preserve"> 15.1 </t>
  </si>
  <si>
    <t>FORNECIMENTO E INSTALAÇÃO DE FACHADA EM PELE DE VIDRO, LINHA CITTA DUE ALCOA, EM VIDRO LAMINADO 4+4 PRATA REFLETIVO CONTENDO JANELAS MAXIM AR</t>
  </si>
  <si>
    <t xml:space="preserve"> 16 </t>
  </si>
  <si>
    <t>LOUÇA E METAIS</t>
  </si>
  <si>
    <t xml:space="preserve"> 16.1 </t>
  </si>
  <si>
    <t>VASO SANITÁRIO SIFONADO COM CAIXA ACOPLADA LOUÇA BRANCA - PADRÃO MÉDIO, INCLUSO ENGATE FLEXÍVEL EM METAL CROMADO, 1/2  X 40CM - FORNECIMENTO E INSTALAÇÃO. AF_01/2020</t>
  </si>
  <si>
    <t xml:space="preserve"> 16.2 </t>
  </si>
  <si>
    <t>VASO SANITARIO SIFONADO CONVENCIONAL PARA PCD SEM FURO FRONTAL COM LOUÇA BRANCA SEM ASSENTO, INCLUSO CONJUNTO DE LIGAÇÃO PARA BACIA SANITÁRIA AJUSTÁVEL - FORNECIMENTO E INSTALAÇÃO. AF_01/2020</t>
  </si>
  <si>
    <t xml:space="preserve"> 16.3 </t>
  </si>
  <si>
    <t>ASSENTO SANITÁRIO CONVENCIONAL - FORNECIMENTO E INSTALACAO. AF_01/2020</t>
  </si>
  <si>
    <t xml:space="preserve"> 16.4 </t>
  </si>
  <si>
    <t>BARRA DE APOIO RETA, EM ACO INOX POLIDO, COMPRIMENTO 80 CM,  FIXADA NA PAREDE - FORNECIMENTO E INSTALAÇÃO. AF_01/2020</t>
  </si>
  <si>
    <t xml:space="preserve"> 16.5 </t>
  </si>
  <si>
    <t>CHUVEIRO ELÉTRICO COMUM CORPO PLÁSTICO, TIPO DUCHA  FORNECIMENTO E INSTALAÇÃO. AF_01/2020</t>
  </si>
  <si>
    <t xml:space="preserve"> 16.6 </t>
  </si>
  <si>
    <t>MICTÓRIO SIFONADO LOUÇA BRANCA  PADRÃO MÉDIO  FORNECIMENTO E INSTALAÇÃO. AF_01/2020</t>
  </si>
  <si>
    <t xml:space="preserve"> 16.7 </t>
  </si>
  <si>
    <t>BANCADA GRANITO CINZA  150 X 60 CM, COM CUBA DE EMBUTIR DE AÇO, VÁLVULA AMERICANA EM METAL, SIFÃO FLEXÍVEL EM PVC, ENGATE FLEXÍVEL 30 CM, TORNEIRA CROMADA LONGA, DE PAREDE, 1/2 OU 3/4, P/ COZINHA, PADRÃO POPULAR - FORNEC. E INSTALAÇÃO. AF_01/2020</t>
  </si>
  <si>
    <t xml:space="preserve"> 16.8 </t>
  </si>
  <si>
    <t>BANCADA GRANITO CINZA,  50 X 60 CM, INCL. CUBA DE EMBUTIR OVAL LOUÇA BRANCA 35 X 50 CM, VÁLVULA METAL CROMADO, SIFÃO FLEXÍVEL PVC, ENGATE 30 CM FLEXÍVEL PLÁSTICO E TORNEIRA CROMADA DE MESA, PADRÃO POPULAR - FORNEC. E INSTALAÇÃO. AF_01/2020</t>
  </si>
  <si>
    <t xml:space="preserve"> 17 </t>
  </si>
  <si>
    <t>INSTALAÇÕES HIDROSSANITÁRIAS</t>
  </si>
  <si>
    <t xml:space="preserve"> 17.1 </t>
  </si>
  <si>
    <t>DRENAGEM E REUSO</t>
  </si>
  <si>
    <t xml:space="preserve"> 17.1.1 </t>
  </si>
  <si>
    <t>BOMBA CENTRÍFUGA, TRIFÁSICA, 3 CV OU 2,96 HP, HM 34 A 40 M, Q 8,6 A 14,8 M3/H - FORNECIMENTO E INSTALAÇÃO. AF_12/2020</t>
  </si>
  <si>
    <t xml:space="preserve"> 17.1.2 </t>
  </si>
  <si>
    <t>REGISTRO DE GAVETA BRUTO, LATÃO, ROSCÁVEL, 1", COM ACABAMENTO E CANOPLA CROMADOS - FORNECIMENTO E INSTALAÇÃO. AF_08/2021</t>
  </si>
  <si>
    <t xml:space="preserve"> 17.1.3 </t>
  </si>
  <si>
    <t>REGISTRO DE GAVETA BRUTO, LATÃO, ROSCÁVEL, 3/4", COM ACABAMENTO E CANOPLA CROMADOS - FORNECIMENTO E INSTALAÇÃO. AF_08/2021</t>
  </si>
  <si>
    <t xml:space="preserve"> 17.1.4 </t>
  </si>
  <si>
    <t>REGISTRO DE GAVETA BRUTO, LATÃO, ROSCÁVEL, 1 1/4", COM ACABAMENTO E CANOPLA CROMADOS - FORNECIMENTO E INSTALAÇÃO. AF_08/2021</t>
  </si>
  <si>
    <t xml:space="preserve"> 17.1.5 </t>
  </si>
  <si>
    <t>VÁLVULA DE RETENÇÃO VERTICAL, DE BRONZE, ROSCÁVEL, 1" - FORNECIMENTO E INSTALAÇÃO. AF_08/2021</t>
  </si>
  <si>
    <t xml:space="preserve"> 17.1.6 </t>
  </si>
  <si>
    <t>VÁLVULA DE RETENÇÃO, DE BRONZE, PÉ COM CRIVOS, ROSCÁVEL, 1 1/4" - FORNECIMENTO E INSTALAÇÃO. AF_08/2021</t>
  </si>
  <si>
    <t xml:space="preserve"> 17.1.7 </t>
  </si>
  <si>
    <t>ADAPTADOR CURTO COM BOLSA E ROSCA PARA REGISTRO, PVC, SOLDÁVEL, DN 40MM X 1.1/4 , INSTALADO EM PRUMADA DE ÁGUA - FORNECIMENTO E INSTALAÇÃO. AF_06/2022</t>
  </si>
  <si>
    <t xml:space="preserve"> 17.1.8 </t>
  </si>
  <si>
    <t>ADAPTADOR CURTO COM BOLSA E ROSCA PARA REGISTRO, PVC, SOLDÁVEL, DN 32MM X 1 , INSTALADO EM RAMAL DE DISTRIBUIÇÃO DE ÁGUA - FORNECIMENTO E INSTALAÇÃO. AF_06/2022</t>
  </si>
  <si>
    <t xml:space="preserve"> 17.1.9 </t>
  </si>
  <si>
    <t>TUBO, PVC, SOLDÁVEL, DN 60 MM, INSTALADO EM RESERVAÇÃO DE ÁGUA DE EDIFICAÇÃO QUE POSSUA RESERVATÓRIO DE FIBRA/FIBROCIMENTO   FORNECIMENTO E INSTALAÇÃO. AF_06/2016</t>
  </si>
  <si>
    <t xml:space="preserve"> 17.1.10 </t>
  </si>
  <si>
    <t>(COMPOSIÇÃO REPRESENTATIVA) DO SERVIÇO DE INSTALAÇÃO DE TUBOS DE PVC, SOLDÁVEL, ÁGUA FRIA, DN 50 MM (INSTALADO EM PRUMADA), INCLUSIVE CONEXÕES, CORTES E FIXAÇÕES, PARA PRÉDIOS. AF_10/2015</t>
  </si>
  <si>
    <t xml:space="preserve"> 17.1.11 </t>
  </si>
  <si>
    <t>(COMPOSIÇÃO REPRESENTATIVA) DO SERVIÇO DE INSTALAÇÃO DE TUBOS DE PVC, SOLDÁVEL, ÁGUA FRIA, DN 40 MM (INSTALADO EM PRUMADA), INCLUSIVE CONEXÕES, CORTES E FIXAÇÕES, PARA PRÉDIOS. AF_10/2015</t>
  </si>
  <si>
    <t xml:space="preserve"> 17.1.12 </t>
  </si>
  <si>
    <t>(COMPOSIÇÃO REPRESENTATIVA) DO SERVIÇO DE INSTALAÇÃO TUBOS DE PVC, SOLDÁVEL, ÁGUA FRIA, DN 32 MM (INSTALADO EM RAMAL, SUB-RAMAL, RAMAL DE DISTRIBUIÇÃO OU PRUMADA), INCLUSIVE CONEXÕES, CORTES E FIXAÇÕES, PARA PRÉDIOS. AF_10/2015</t>
  </si>
  <si>
    <t xml:space="preserve"> 17.1.13 </t>
  </si>
  <si>
    <t>(COMPOSIÇÃO REPRESENTATIVA) DO SERVIÇO DE INSTALAÇÃO DE TUBOS DE PVC, SOLDÁVEL, ÁGUA FRIA, DN 25 MM (INSTALADO EM RAMAL, SUB-RAMAL, RAMAL DE DISTRIBUIÇÃO OU PRUMADA), INCLUSIVE CONEXÕES, CORTES E FIXAÇÕES, PARA PRÉDIOS. AF_10/2015</t>
  </si>
  <si>
    <t xml:space="preserve"> 17.1.14 </t>
  </si>
  <si>
    <t>(COMPOSIÇÃO REPRESENTATIVA) DO SERVIÇO DE INSTALAÇÃO DE TUBO DE PVC, SÉRIE NORMAL, ESGOTO PREDIAL, DN 50 MM (INSTALADO EM RAMAL DE DESCARGA OU RAMAL DE ESGOTO SANITÁRIO), INCLUSIVE CONEXÕES, CORTES E FIXAÇÕES PARA, PRÉDIOS. AF_10/2015</t>
  </si>
  <si>
    <t xml:space="preserve"> 17.1.15 </t>
  </si>
  <si>
    <t>(COMPOSIÇÃO REPRESENTATIVA) DO SERVIÇO DE INSTALAÇÃO DE TUBO DE PVC, SÉRIE NORMAL, ESGOTO PREDIAL, DN 40 MM (INSTALADO EM RAMAL DE DESCARGA OU RAMAL DE ESGOTO SANITÁRIO), INCLUSIVE CONEXÕES, CORTES E FIXAÇÕES, PARA PRÉDIOS. AF_10/2015</t>
  </si>
  <si>
    <t xml:space="preserve"> 17.1.16 </t>
  </si>
  <si>
    <t>(COMPOSIÇÃO REPRESENTATIVA) DO SERVIÇO DE INSTALAÇÃO DE TUBOS DE PVC, SÉRIE R, ÁGUA PLUVIAL, DN 100 MM (INSTALADO EM RAMAL DE ENCAMINHAMENTO, OU CONDUTORES VERTICAIS), INCLUSIVE CONEXÕES, CORTES E FIXAÇÕES, PARA PRÉDIOS. AF_10/2015</t>
  </si>
  <si>
    <t xml:space="preserve"> 17.1.17 </t>
  </si>
  <si>
    <t>(COMPOSIÇÃO REPRESENTATIVA) DO SERVIÇO DE INSTALAÇÃO DE TUBOS DE PVC, SÉRIE R, ÁGUA PLUVIAL, DN 75 MM (INSTALADO EM RAMAL DE ENCAMINHAMENTO, OU CONDUTORES VERTICAIS), INCLUSIVE CONEXÕES, CORTE E FIXAÇÕES, PARA PRÉDIOS. AF_10/2015</t>
  </si>
  <si>
    <t xml:space="preserve"> 17.1.18 </t>
  </si>
  <si>
    <t>CAIXA ENTERRADA HIDRÁULICA RETANGULAR EM ALVENARIA COM TIJOLOS CERÂMICOS MACIÇOS, DIMENSÕES INTERNAS: 1X1X0,6 M PARA REDE DE ESGOTO. AF_12/2020</t>
  </si>
  <si>
    <t xml:space="preserve"> 17.1.19 </t>
  </si>
  <si>
    <t>CAIXA ENTERRADA HIDRÁULICA RETANGULAR EM ALVENARIA COM TIJOLOS CERÂMICOS MACIÇOS, DIMENSÕES INTERNAS: 0,6X0,6X0,6 M PARA REDE DE DRENAGEM. AF_12/2020</t>
  </si>
  <si>
    <t xml:space="preserve"> 17.1.20 </t>
  </si>
  <si>
    <t>CAIXA ENTERRADA HIDRÁULICA RETANGULAR EM ALVENARIA COM TIJOLOS CERÂMICOS MACIÇOS, DIMENSÕES INTERNAS: 0,8X0,8X0,6 M PARA REDE DE ESGOTO. AF_12/2020</t>
  </si>
  <si>
    <t xml:space="preserve"> 17.1.21 </t>
  </si>
  <si>
    <t>CAIXA SIFONADA, PVC, DN 100 X 100 X 50 MM, JUNTA ELÁSTICA, FORNECIDA E INSTALADA EM RAMAL DE DESCARGA OU EM RAMAL DE ESGOTO SANITÁRIO. AF_08/2022</t>
  </si>
  <si>
    <t xml:space="preserve"> 17.1.22 </t>
  </si>
  <si>
    <t>CAIXA SIFONADA, PVC, DN 150 X 185 X 75 MM, FORNECIDA E INSTALADA EM RAMAIS DE ENCAMINHAMENTO DE ÁGUA PLUVIAL. AF_06/2022</t>
  </si>
  <si>
    <t xml:space="preserve"> 17.1.23 </t>
  </si>
  <si>
    <t>CAIXA PARA BOCA DE LOBO COMBINADA COM GRELHA RETANGULAR, EM ALVENARIA COM BLOCOS DE CONCRETO, DIMENSÕES INTERNAS: 1,3X1X1,2 M. AF_12/2020</t>
  </si>
  <si>
    <t xml:space="preserve"> 17.1.24 </t>
  </si>
  <si>
    <t>ENGATE FLEXÍVEL EM PLÁSTICO BRANCO, 1/2 X 30CM - FORNECIMENTO E INSTALAÇÃO. AF_01/2020</t>
  </si>
  <si>
    <t xml:space="preserve"> 17.1.25 </t>
  </si>
  <si>
    <t>TORNEIRA CROMADA 1/2 OU 3/4 PARA TANQUE, PADRÃO MÉDIO - FORNECIMENTO E INSTALAÇÃO. AF_01/2020</t>
  </si>
  <si>
    <t xml:space="preserve"> 17.1.26 </t>
  </si>
  <si>
    <t>TORNEIRA CROMADA DE MESA, 1/2 OU 3/4, PARA LAVATÓRIO, PADRÃO MÉDIO - FORNECIMENTO E INSTALAÇÃO. AF_01/2020</t>
  </si>
  <si>
    <t xml:space="preserve"> 17.1.27 </t>
  </si>
  <si>
    <t>CAIXA D'AGUA EM POLIETILENO 15000 LITROS COM TAMPA</t>
  </si>
  <si>
    <t xml:space="preserve"> 17.2 </t>
  </si>
  <si>
    <t>AGUA FRIA</t>
  </si>
  <si>
    <t xml:space="preserve"> 17.2.1 </t>
  </si>
  <si>
    <t>(COMPOSIÇÃO REPRESENTATIVA) LIGAÇÃO PREDIAL DE ÁGUA, REDE DN 50 MM, RAMAL PREDIAL DE 20 MM, L = 2,0 M, LARGURA DA VALA = 0,65 M; COM COLAR DE TOMADA DE PVC; ESCAVAÇÃO MECANIZADA, PREPARO DE FUNDO DE VALA E REATERRO COMPACTADO. AF_06/2022</t>
  </si>
  <si>
    <t xml:space="preserve"> 17.2.2 </t>
  </si>
  <si>
    <t>PONTO DE CONSUMO TERMINAL DE ÁGUA FRIA (SUBRAMAL) COM TUBULAÇÃO DE PVC, DN 25 MM, INSTALADO EM RAMAL DE ÁGUA, INCLUSOS RASGO E CHUMBAMENTO EM ALVENARIA. AF_12/2014</t>
  </si>
  <si>
    <t xml:space="preserve"> 17.2.3 </t>
  </si>
  <si>
    <t xml:space="preserve"> 17.2.4 </t>
  </si>
  <si>
    <t xml:space="preserve"> 17.2.5 </t>
  </si>
  <si>
    <t xml:space="preserve"> 17.2.6 </t>
  </si>
  <si>
    <t xml:space="preserve"> 17.2.7 </t>
  </si>
  <si>
    <t>BARRILETE DISTR.PVC SOLDAVEL CAIXA (ATE COLUNAS) POR PAV.</t>
  </si>
  <si>
    <t xml:space="preserve"> 17.3 </t>
  </si>
  <si>
    <t>ESGOTO</t>
  </si>
  <si>
    <t xml:space="preserve"> 17.3.1 </t>
  </si>
  <si>
    <t>(COMPOSIÇÃO REPRESENTATIVA) LIGAÇÃO PREDIAL DE ESGOTO, REDE DN 150 MM, COLETOR PREDIAL DN 100 MM, L = 4,0 M, LARGURA DA VALA = 0,65 M; COM SELIM E CURVA 90 GRAUS; ESCAVAÇÃO MECANIZADA, PREPARO DE FUNDO DE VALA E REATERRO COMPACTADO. AF_06/2022</t>
  </si>
  <si>
    <t xml:space="preserve"> 17.3.2 </t>
  </si>
  <si>
    <t>TERMINAL DE VENTILAÇÃO, PVC, SÉRIE NORMAL, ESGOTO PREDIAL, DN 100 MM, JUNTA SOLDÁVEL, FORNECIDO E INSTALADO EM PRUMADA DE ESGOTO SANITÁRIO OU VENTILAÇÃO. AF_08/2022</t>
  </si>
  <si>
    <t xml:space="preserve"> 17.3.3 </t>
  </si>
  <si>
    <t>CONJUNTO DE PONTOS DE COLETA DE ESGOTO PARA BANHEIRO (RAMAL DE ESGOTO SANITÁRIO), EM PVC SÉRIE NORMAL, COM  TUBOS, CONEXÕES, RALOS, CAIXAS SIFONADAS, CORTES E FIXAÇÕES EM PRÉDIO COM PRUMADA DE DESCIDA DE ESGOTO DENTRO DO BANHEIRO. AF_05/2023</t>
  </si>
  <si>
    <t xml:space="preserve"> 17.3.4 </t>
  </si>
  <si>
    <t>CAIXA SIFONADA, PVC, DN 150 X 185 X 75 MM, JUNTA ELÁSTICA, FORNECIDA E INSTALADA EM RAMAL DE DESCARGA OU EM RAMAL DE ESGOTO SANITÁRIO. AF_08/2022</t>
  </si>
  <si>
    <t xml:space="preserve"> 17.3.5 </t>
  </si>
  <si>
    <t>CAIXA DE GORDURA PEQUENA (CAPACIDADE: 19 L), CIRCULAR, EM PVC, DIÂMETRO INTERNO= 0,3 M. AF_12/2020</t>
  </si>
  <si>
    <t xml:space="preserve"> 17.3.6 </t>
  </si>
  <si>
    <t>BASE PARA POÇO DE VISITA RETANGULAR PARA  ESGOTO, EM ALVENARIA COM BLOCOS DE CONCRETO, DIMENSÕES INTERNAS = 1X1 M, PROFUNDIDADE = 1,40 M, EXCLUINDO TAMPÃO. AF_12/2020_PA</t>
  </si>
  <si>
    <t xml:space="preserve"> 17.3.7 </t>
  </si>
  <si>
    <t>BASE PARA POÇO DE VISITA CIRCULAR PARA  ESGOTO, EM ALVENARIA COM TIJOLOS CERÂMICOS MACIÇOS, DIÂMETRO INTERNO = 0,80 M, PROFUNDIDADE = 1,40 M, EXCLUINDO TAMPÃO. AF_12/2020_PA</t>
  </si>
  <si>
    <t xml:space="preserve"> 17.3.8 </t>
  </si>
  <si>
    <t>CAIXA ENTERRADA HIDRÁULICA RETANGULAR EM ALVENARIA COM TIJOLOS CERÂMICOS MACIÇOS, DIMENSÕES INTERNAS: 0,6X0,6X0,6 M PARA REDE DE ESGOTO. AF_12/2020</t>
  </si>
  <si>
    <t xml:space="preserve"> 17.3.9 </t>
  </si>
  <si>
    <t xml:space="preserve"> 17.3.10 </t>
  </si>
  <si>
    <t>RALO SIFONADO REDONDO, PVC, DN 100 X 40 MM, JUNTA SOLDÁVEL, FORNECIDO E INSTALADO EM RAMAL DE DESCARGA OU EM RAMAL DE ESGOTO SANITÁRIO. AF_08/2022</t>
  </si>
  <si>
    <t xml:space="preserve"> 17.3.11 </t>
  </si>
  <si>
    <t>PONTO ESGOTO PRIMARIO PVC</t>
  </si>
  <si>
    <t xml:space="preserve"> 17.3.12 </t>
  </si>
  <si>
    <t>PONTO ESGOTO SANITARIO PRIMARIO PVC (MICTORIO)</t>
  </si>
  <si>
    <t xml:space="preserve"> 17.3.13 </t>
  </si>
  <si>
    <t>PONTO ESGOTO SANITARIO PRIMARIO PVC (VASO)</t>
  </si>
  <si>
    <t xml:space="preserve"> 17.4 </t>
  </si>
  <si>
    <t>ESTAÇÃO ELEVATÓRIA</t>
  </si>
  <si>
    <t xml:space="preserve"> 17.4.1 </t>
  </si>
  <si>
    <t>BOMBA CENTRÍFUGA, TRIFÁSICA, 1 CV OU 0,99 HP, HM 14 A 40 M, Q 0,6 A 8,4 M3/H - FORNECIMENTO E INSTALAÇÃO. AF_12/2020</t>
  </si>
  <si>
    <t xml:space="preserve"> 17.4.2 </t>
  </si>
  <si>
    <t>REGISTRO DE ESFERA, PVC, SOLDÁVEL, COM VOLANTE, DN  60 MM - FORNECIMENTO E INSTALAÇÃO. AF_08/2021</t>
  </si>
  <si>
    <t xml:space="preserve"> 17.4.3 </t>
  </si>
  <si>
    <t>CAIXA COM GRELHA DUPLA RETANGULAR, EM ALVENARIA COM BLOCOS DE CONCRETO, DIMENSÕES INTERNAS: 0,5X2,2X1 M. AF_12/2020</t>
  </si>
  <si>
    <t xml:space="preserve"> 17.4.4 </t>
  </si>
  <si>
    <t xml:space="preserve"> 17.4.5 </t>
  </si>
  <si>
    <t>TAMPA CIRCULAR PARA ESGOTO E DRENAGEM, EM CONCRETO PRÉ-MOLDADO, DIÂMETRO INTERNO = 0,60 M E ALTURA = 0,10 M. AF_12/2020</t>
  </si>
  <si>
    <t xml:space="preserve"> 18 </t>
  </si>
  <si>
    <t>INSTALAÇÕES ELÉTRICAS</t>
  </si>
  <si>
    <t xml:space="preserve"> 18.1 </t>
  </si>
  <si>
    <t>PONTO DE ELÉTRICOS</t>
  </si>
  <si>
    <t xml:space="preserve"> 18.1.1 </t>
  </si>
  <si>
    <t>COMPOSIÇÃO PARAMÉTRICA DE PONTO ELÉTRICO DE ILUMINAÇÃO, COM INTERRUPTOR SIMPLES, EM EDIFÍCIO RESIDENCIAL COM ELETRODUTO EMBUTIDO EM RASGOS NAS PAREDES, INCLUSO TOMADA, ELETRODUTO, CABO, RASGO E CHUMBAMENTO (SEM LUMINÁRIA E LÂMPADA). AF_11/2022</t>
  </si>
  <si>
    <t xml:space="preserve"> 18.1.2 </t>
  </si>
  <si>
    <t>COMPOSIÇÃO PARAMÉTRICA DE PONTO ELÉTRICO DE TOMADA DE USO ESPECÍFICO 2P+T (20A/250V) EM EDIFÍCIO RESIDENCIAL COM ELETRODUTO EMBUTIDO EM RASGOS NAS PAREDES, INCLUSO TOMADA, ELETRODUTO, CABO, RASGO, QUEBRA E CHUMBAMENTO (EXCETO CHUVEIRO). AF_11/2022</t>
  </si>
  <si>
    <t xml:space="preserve"> 18.1.3 </t>
  </si>
  <si>
    <t>COMPOSIÇÃO PARAMÉTRICA DE PONTO ELÉTRICO DE TOMADA DE USO GERAL 2P+T (10A/250V) EM EDIFÍCIO RESIDENCIAL COM ELETRODUTO EMBUTIDO EM RASGOS NAS PAREDES, INCLUSO TOMADA, ELETRODUTO, CABO, RASGO, QUEBRA E CHUMBAMENTO. AF_11/2022</t>
  </si>
  <si>
    <t xml:space="preserve"> 18.1.4 </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</si>
  <si>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</si>
  <si>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 xml:space="preserve"> 18.1.5 </t>
  </si>
  <si>
    <t>COMPOSIÇÃO PARAMÉTRICA DE PONTO ELÉTRICO DE TOMADA PARA CHUVEIRO (20A/250V) EM EDIFÍCIO RESIDENCIAL COM ELETRODUTO EMBUTIDO EM RASGOS NAS PAREDES, INCLUSO TOMADA, ELETRODUTO, CABO, RASGO, QUEBRA E CHUMBAMENTO. AF_11/2022</t>
  </si>
  <si>
    <t xml:space="preserve"> 18.2 </t>
  </si>
  <si>
    <t>CAIXAS E QUADROS</t>
  </si>
  <si>
    <t xml:space="preserve"> 18.2.1 </t>
  </si>
  <si>
    <t>CAIXA DE PROTEÇÃO PARA MEDIDOR MONOFÁSICO DE EMBUTIR - FORNECIMENTO E INSTALAÇÃO. AF_10/2020</t>
  </si>
  <si>
    <t xml:space="preserve"> 18.2.2 </t>
  </si>
  <si>
    <t>QUADRO DE DISTRIBUIÇÃO DE ENERGIA EM CHAPA DE AÇO GALVANIZADO, DE EMBUTIR, COM BARRAMENTO TRIFÁSICO, PARA 12 DISJUNTORES DIN 100A - FORNECIMENTO E INSTALAÇÃO. AF_10/2020</t>
  </si>
  <si>
    <t xml:space="preserve"> 18.2.3 </t>
  </si>
  <si>
    <t>QUADRO DE DISTRIBUIÇÃO DE ENERGIA EM CHAPA DE AÇO GALVANIZADO, DE EMBUTIR, COM BARRAMENTO TRIFÁSICO, PARA 18 DISJUNTORES DIN 100A - FORNECIMENTO E INSTALAÇÃO. AF_10/2020</t>
  </si>
  <si>
    <t xml:space="preserve"> 18.2.4 </t>
  </si>
  <si>
    <t>QUADRO DE DISTRIBUIÇÃO DE ENERGIA EM CHAPA DE AÇO GALVANIZADO, DE EMBUTIR, COM BARRAMENTO TRIFÁSICO, PARA 24 DISJUNTORES DIN 100A - FORNECIMENTO E INSTALAÇÃO. AF_10/2020</t>
  </si>
  <si>
    <t xml:space="preserve"> 18.2.5 </t>
  </si>
  <si>
    <t>QUADRO DE DISTRIBUIÇÃO DE ENERGIA EM CHAPA DE AÇO GALVANIZADO, DE EMBUTIR, COM BARRAMENTO TRIFÁSICO, PARA 30 DISJUNTORES DIN 150A - FORNECIMENTO E INSTALAÇÃO. AF_10/2020</t>
  </si>
  <si>
    <t xml:space="preserve"> 18.2.6 </t>
  </si>
  <si>
    <t>QUADRO DE DISTRIBUIÇÃO DE ENERGIA EM PVC, DE EMBUTIR, SEM BARRAMENTO, PARA 3 DISJUNTORES - FORNECIMENTO E INSTALAÇÃO. AF_10/2020</t>
  </si>
  <si>
    <t xml:space="preserve"> 18.2.7 </t>
  </si>
  <si>
    <t>QUADRO DE DISTRIBUIÇÃO DE ENERGIA EM PVC, DE EMBUTIR, SEM BARRAMENTO, PARA 6 DISJUNTORES - FORNECIMENTO E INSTALAÇÃO. AF_10/2020</t>
  </si>
  <si>
    <t xml:space="preserve"> 18.2.8 </t>
  </si>
  <si>
    <t>QUADRO DE DISTRIBUICAO COM BARRAMENTO TRIFASICO, DE EMBUTIR, EM CHAPA DE ACO GALVANIZADO, PARA 48 DISJUNTORES DIN, 100 A</t>
  </si>
  <si>
    <t xml:space="preserve"> 18.2.9 </t>
  </si>
  <si>
    <t>QUADRO DE DISTRIBUICAO COM BARRAMENTO TRIFASICO, DE EMBUTIR, EM CHAPA DE ACO GALVANIZADO, PARA 40 DISJUNTORES DIN, 100 A</t>
  </si>
  <si>
    <t xml:space="preserve"> 18.2.10 </t>
  </si>
  <si>
    <t>CAIXA DE PASSAGEM/ LUZ / TELEFONIA, DE EMBUTIR, EM CHAPA DE ACO GALVANIZADO, DIMENSOES 120 X 120 X *12* CM (PADRAO CONCESSIONARIA LOCAL)</t>
  </si>
  <si>
    <t xml:space="preserve"> 18.2.11 </t>
  </si>
  <si>
    <t>CAIXA DE PASSAGEM METALICA, DE SOBREPOR, COM TAMPA APARAFUSADA, DIMENSOES 15 X 15 X *10* CM</t>
  </si>
  <si>
    <t xml:space="preserve"> 18.2.12 </t>
  </si>
  <si>
    <t>CAIXA DE PASSAGEM ELETRICA DE PAREDE, DE EMBUTIR, EM TERMOPLASTICO / PVC, COM TAMPA APARAFUSADA, DIMENSOES 400 X 400 X *120* MM</t>
  </si>
  <si>
    <t xml:space="preserve"> 18.2.13 </t>
  </si>
  <si>
    <t>BASEADO NA COMPOSIÇÃO SINAPI(101883)INSTALAÇÃO DE QUADROS ELÉTRICOS COMPLETO INCLUINDO DISJUNTORES</t>
  </si>
  <si>
    <t xml:space="preserve"> 18.2.14 </t>
  </si>
  <si>
    <t>INSTALAÇÃO DE CAIXA DE´PASSAGEM DE SOBREPOR</t>
  </si>
  <si>
    <t xml:space="preserve"> 18.2.15 </t>
  </si>
  <si>
    <t>INSTALAÇÃO DE CAIXA DE PASSAGEM DE EMBUTIR (120X120X12)CM</t>
  </si>
  <si>
    <t xml:space="preserve"> 18.2.16 </t>
  </si>
  <si>
    <t>INSTALAÇÃO DE CAIXA DE PASSAGEM DE EMBUTIR (400X400X120)CM</t>
  </si>
  <si>
    <t xml:space="preserve"> 18.3 </t>
  </si>
  <si>
    <t>DISJUNTORES E DISPOSITIVOS</t>
  </si>
  <si>
    <t xml:space="preserve"> 18.3.1 </t>
  </si>
  <si>
    <t>DISJUNTOR TERMOMAGNÉTICO TRIPOLAR , CORRENTE NOMINAL DE 125A - FORNECIMENTO E INSTALAÇÃO. AF_10/2020</t>
  </si>
  <si>
    <t xml:space="preserve"> 18.3.2 </t>
  </si>
  <si>
    <t>DISJUNTOR TERMOMAGNETICO TRIPOLAR 150 A / 600 V, TIPO FXD / ICC - 35 KA</t>
  </si>
  <si>
    <t xml:space="preserve"> 18.3.3 </t>
  </si>
  <si>
    <t>DISJUNTOR TRIPOLAR TIPO DIN, CORRENTE NOMINAL DE 20A - FORNECIMENTO E INSTALAÇÃO. AF_10/2020</t>
  </si>
  <si>
    <t xml:space="preserve"> 18.3.4 </t>
  </si>
  <si>
    <t>DISJUNTOR TRIPOLAR TIPO DIN, CORRENTE NOMINAL DE 25A - FORNECIMENTO E INSTALAÇÃO. AF_10/2020</t>
  </si>
  <si>
    <t xml:space="preserve"> 18.3.5 </t>
  </si>
  <si>
    <t>DISJUNTOR TERMOMAGNETICO TRIPOLAR 300 A / 600 V, TIPO JXD / ICC - 40 KA</t>
  </si>
  <si>
    <t xml:space="preserve"> 18.3.6 </t>
  </si>
  <si>
    <t>DISJUNTOR TRIPOLAR TIPO DIN, CORRENTE NOMINAL DE 32A - FORNECIMENTO E INSTALAÇÃO. AF_10/2020</t>
  </si>
  <si>
    <t xml:space="preserve"> 18.3.7 </t>
  </si>
  <si>
    <t>DISJUNTOR TRIPOLAR TIPO DIN, CORRENTE NOMINAL DE 40A - FORNECIMENTO E INSTALAÇÃO. AF_10/2020</t>
  </si>
  <si>
    <t xml:space="preserve"> 18.3.8 </t>
  </si>
  <si>
    <t>DISJUNTOR TRIPOLAR TIPO DIN, CORRENTE NOMINAL DE 50A - FORNECIMENTO E INSTALAÇÃO. AF_10/2020</t>
  </si>
  <si>
    <t xml:space="preserve"> 18.3.9 </t>
  </si>
  <si>
    <t>DISJUNTOR TIPO DIN/IEC, TRIPOLAR 63 A</t>
  </si>
  <si>
    <t xml:space="preserve"> 18.3.10 </t>
  </si>
  <si>
    <t>DISJUNTOR TIPO NEMA, TRIPOLAR 60 ATE 100 A, TENSAO MAXIMA DE 415 V</t>
  </si>
  <si>
    <t xml:space="preserve"> 18.3.11 </t>
  </si>
  <si>
    <t>DISJUNTOR TERMOMAGNETICO TRIPOLAR 800 A / 600 V, TIPO LMXD</t>
  </si>
  <si>
    <t xml:space="preserve"> 18.3.12 </t>
  </si>
  <si>
    <t>DISJUNTOR BIPOLAR TIPO DIN, CORRENTE NOMINAL DE 10A - FORNECIMENTO E INSTALAÇÃO. AF_10/2020</t>
  </si>
  <si>
    <t xml:space="preserve"> 18.3.13 </t>
  </si>
  <si>
    <t>DISJUNTOR BIPOLAR TIPO DIN, CORRENTE NOMINAL DE 16A - FORNECIMENTO E INSTALAÇÃO. AF_10/2020</t>
  </si>
  <si>
    <t xml:space="preserve"> 18.3.14 </t>
  </si>
  <si>
    <t>DISJUNTOR BIPOLAR TIPO DIN, CORRENTE NOMINAL DE 20A - FORNECIMENTO E INSTALAÇÃO. AF_10/2020</t>
  </si>
  <si>
    <t xml:space="preserve"> 18.3.15 </t>
  </si>
  <si>
    <t>DISJUNTOR BIPOLAR TIPO DIN, CORRENTE NOMINAL DE 25A - FORNECIMENTO E INSTALAÇÃO. AF_10/2020</t>
  </si>
  <si>
    <t xml:space="preserve"> 18.3.16 </t>
  </si>
  <si>
    <t>DISJUNTOR BIPOLAR TIPO DIN, CORRENTE NOMINAL DE 32A - FORNECIMENTO E INSTALAÇÃO. AF_10/2020</t>
  </si>
  <si>
    <t xml:space="preserve"> 18.3.17 </t>
  </si>
  <si>
    <t>DISJUNTOR BIPOLAR TIPO DIN, CORRENTE NOMINAL DE 40A - FORNECIMENTO E INSTALAÇÃO. AF_10/2020</t>
  </si>
  <si>
    <t xml:space="preserve"> 18.3.18 </t>
  </si>
  <si>
    <t>DISJUNTOR BIPOLAR TIPO DIN, CORRENTE NOMINAL DE 50A - FORNECIMENTO E INSTALAÇÃO. AF_10/2020</t>
  </si>
  <si>
    <t xml:space="preserve"> 18.3.19 </t>
  </si>
  <si>
    <t>DISJUNTOR MONOPOLAR TIPO DIN, CORRENTE NOMINAL DE 10A - FORNECIMENTO E INSTALAÇÃO. AF_10/2020</t>
  </si>
  <si>
    <t xml:space="preserve"> 18.3.20 </t>
  </si>
  <si>
    <t>DISJUNTOR MONOPOLAR TIPO DIN, CORRENTE NOMINAL DE 16A - FORNECIMENTO E INSTALAÇÃO. AF_10/2020</t>
  </si>
  <si>
    <t xml:space="preserve"> 18.3.21 </t>
  </si>
  <si>
    <t>DISJUNTOR MONOPOLAR TIPO DIN, CORRENTE NOMINAL DE 20A - FORNECIMENTO E INSTALAÇÃO. AF_10/2020</t>
  </si>
  <si>
    <t xml:space="preserve"> 18.3.22 </t>
  </si>
  <si>
    <t>DISJUNTOR MONOPOLAR TIPO DIN, CORRENTE NOMINAL DE 25A - FORNECIMENTO E INSTALAÇÃO. AF_10/2020</t>
  </si>
  <si>
    <t xml:space="preserve"> 18.3.23 </t>
  </si>
  <si>
    <t>DISJUNTOR MONOPOLAR TIPO DIN, CORRENTE NOMINAL DE 32A - FORNECIMENTO E INSTALAÇÃO. AF_10/2020</t>
  </si>
  <si>
    <t xml:space="preserve"> 18.3.24 </t>
  </si>
  <si>
    <t>DISJUNTOR MONOPOLAR TIPO DIN, CORRENTE NOMINAL DE 40A - FORNECIMENTO E INSTALAÇÃO. AF_10/2020</t>
  </si>
  <si>
    <t xml:space="preserve"> 18.3.25 </t>
  </si>
  <si>
    <t>DISJUNTOR TRIPOLAR TIPO NEMA, CORRENTE NOMINAL DE 60 ATÉ 100A - FORNECIMENTO E INSTALAÇÃO. AF_10/2020</t>
  </si>
  <si>
    <t xml:space="preserve"> 18.3.26 </t>
  </si>
  <si>
    <t>DISPOSITIVO DR, 4 POLOS, SENSIBILIDADE DE 30 MA, CORRENTE DE 25 A, TIPO AC</t>
  </si>
  <si>
    <t xml:space="preserve"> 18.3.27 </t>
  </si>
  <si>
    <t>DISPOSITIVO DR, 2 POLOS, SENSIBILIDADE DE 30 MA, CORRENTE DE 25 A, TIPO AC</t>
  </si>
  <si>
    <t xml:space="preserve"> 18.3.28 </t>
  </si>
  <si>
    <t>INSTALAÇÃO DE DISJUNTOR  TIPO DIM E SIMILARES INCLUSIVE DR.</t>
  </si>
  <si>
    <t xml:space="preserve"> 18.3.29 </t>
  </si>
  <si>
    <t>INSTALAÇÃO DE DISJUNTOR TERMOMAGNÉTICO</t>
  </si>
  <si>
    <t xml:space="preserve"> 18.4 </t>
  </si>
  <si>
    <t>FIOS E CABOS</t>
  </si>
  <si>
    <t xml:space="preserve"> 18.4.1 </t>
  </si>
  <si>
    <t>CABO DE COBRE FLEXÍVEL ISOLADO, 50 MM², ANTI-CHAMA 0,6/1,0 KV, PARA REDE ENTERRADA DE DISTRIBUIÇÃO DE ENERGIA ELÉTRICA - FORNECIMENTO E INSTALAÇÃO. AF_12/2021</t>
  </si>
  <si>
    <t xml:space="preserve"> 18.4.2 </t>
  </si>
  <si>
    <t>CABO DE COBRE FLEXÍVEL ISOLADO, 70 MM², ANTI-CHAMA 0,6/1,0 KV, PARA REDE ENTERRADA DE DISTRIBUIÇÃO DE ENERGIA ELÉTRICA - FORNECIMENTO E INSTALAÇÃO. AF_12/2021</t>
  </si>
  <si>
    <t xml:space="preserve"> 18.4.3 </t>
  </si>
  <si>
    <t>CABO DE COBRE FLEXÍVEL ISOLADO, 95 MM², ANTI-CHAMA 0,6/1,0 KV, PARA REDE ENTERRADA DE DISTRIBUIÇÃO DE ENERGIA ELÉTRICA - FORNECIMENTO E INSTALAÇÃO. AF_12/2021</t>
  </si>
  <si>
    <t xml:space="preserve"> 18.4.4 </t>
  </si>
  <si>
    <t>CABO DE COBRE FLEXÍVEL ISOLADO, 120 MM², ANTI-CHAMA 0,6/1,0 KV, PARA REDE ENTERRADA DE DISTRIBUIÇÃO DE ENERGIA ELÉTRICA - FORNECIMENTO E INSTALAÇÃO. AF_12/2021</t>
  </si>
  <si>
    <t xml:space="preserve"> 18.4.5 </t>
  </si>
  <si>
    <t>CABO DE COBRE FLEXÍVEL ISOLADO, 185 MM², ANTI-CHAMA 0,6/1,0 KV, PARA REDE ENTERRADA DE DISTRIBUIÇÃO DE ENERGIA ELÉTRICA - FORNECIMENTO E INSTALAÇÃO. AF_12/2021</t>
  </si>
  <si>
    <t xml:space="preserve"> 18.4.6 </t>
  </si>
  <si>
    <t>CABO DE COBRE FLEXÍVEL ISOLADO, 240 MM², ANTI-CHAMA 0,6/1,0 KV, PARA REDE ENTERRADA DE DISTRIBUIÇÃO DE ENERGIA ELÉTRICA - FORNECIMENTO E INSTALAÇÃO. AF_12/2021</t>
  </si>
  <si>
    <t xml:space="preserve"> 18.4.7 </t>
  </si>
  <si>
    <t>CABO DE COBRE FLEXÍVEL ISOLADO, 300 MM², ANTI-CHAMA 0,6/1,0 KV, PARA REDE ENTERRADA DE DISTRIBUIÇÃO DE ENERGIA ELÉTRICA - FORNECIMENTO E INSTALAÇÃO. AF_12/2021</t>
  </si>
  <si>
    <t xml:space="preserve"> 18.5 </t>
  </si>
  <si>
    <t>LUMINÁRIAS</t>
  </si>
  <si>
    <t xml:space="preserve"> 18.5.1 </t>
  </si>
  <si>
    <t>LUMINÁRIA TIPO CALHA, DE SOBREPOR, COM 2 LÂMPADAS TUBULARES FLUORESCENTES DE 18 W, COM REATOR DE PARTIDA RÁPIDA - FORNECIMENTO E INSTALAÇÃO. AF_02/2020</t>
  </si>
  <si>
    <t xml:space="preserve"> 18.5.2 </t>
  </si>
  <si>
    <t>LUMINÁRIA ARANDELA TIPO MEIA LUA, DE SOBREPOR, COM 1 LÂMPADA FLUORESCENTE DE 15 W, SEM REATOR - FORNECIMENTO E INSTALAÇÃO. AF_02/2020</t>
  </si>
  <si>
    <t xml:space="preserve"> 18.5.3 </t>
  </si>
  <si>
    <t xml:space="preserve"> 18.5.4 </t>
  </si>
  <si>
    <t>LUMINÁRIA TIPO SPOT, DE SOBREPOR, COM 2 LÂMPADAS FLUORESCENTES DE 15 W, SEM REATOR - FORNECIMENTO E INSTALAÇÃO. AF_02/2020</t>
  </si>
  <si>
    <t xml:space="preserve"> 18.5.5 </t>
  </si>
  <si>
    <t>LUMINÁRIA ARANDELA TIPO TARTARUGA, DE SOBREPOR, COM 1 LÂMPADA LED DE 6 W, SEM REATOR - FORNECIMENTO E INSTALAÇÃO. AF_02/2020</t>
  </si>
  <si>
    <t xml:space="preserve"> 18.5.6 </t>
  </si>
  <si>
    <t>LUMINÁRIA TIPO PLAFON EM PLÁSTICO, DE SOBREPOR, COM 1 LÂMPADA FLUORESCENTE DE 15 W, SEM REATOR - FORNECIMENTO E INSTALAÇÃO. AF_02/2020</t>
  </si>
  <si>
    <t xml:space="preserve"> 18.5.7 </t>
  </si>
  <si>
    <t>RELÉ FOTOELÉTRICO PARA COMANDO DE ILUMINAÇÃO EXTERNA 1000 W - FORNECIMENTO E INSTALAÇÃO. AF_08/2020</t>
  </si>
  <si>
    <t xml:space="preserve"> 18.5.8 </t>
  </si>
  <si>
    <t>LUMINÁRIA DE EMERGÊNCIA, COM 30 LÂMPADAS LED DE 2 W, SEM REATOR - FORNECIMENTO E INSTALAÇÃO. AF_02/2020</t>
  </si>
  <si>
    <t xml:space="preserve"> 18.5.9 </t>
  </si>
  <si>
    <t>SENSOR DE PRESENÇA COM FOTOCÉLULA, FIXAÇÃO EM TETO - FORNECIMENTO E INSTALAÇÃO. AF_02/2020</t>
  </si>
  <si>
    <t xml:space="preserve"> 18.5.10 </t>
  </si>
  <si>
    <t>FITA ISOLANTE DE BORRACHA AUTOFUSAO, USO ATE 69 KV (ALTA TENSAO)</t>
  </si>
  <si>
    <t xml:space="preserve"> 18.5.11 </t>
  </si>
  <si>
    <t>FITA ISOLANTE ADESIVA ANTICHAMA, USO ATE 750 V, EM ROLO DE 19 MM X 20 M</t>
  </si>
  <si>
    <t xml:space="preserve"> 18.6 </t>
  </si>
  <si>
    <t>RAMAL DE ENTRADA E SUBESTAÇÃO ABRIGADA</t>
  </si>
  <si>
    <t xml:space="preserve"> 18.6.1 </t>
  </si>
  <si>
    <t>ENTRADA DE ENERGIA ELÉTRICA, AÉREA, TRIFÁSICA, COM CAIXA DE EMBUTIR, CABO DE 35 MM2 E DISJUNTOR DIN 50A (NÃO INCLUSO O POSTE DE CONCRETO). AF_07/2020_PS</t>
  </si>
  <si>
    <t xml:space="preserve"> 18.6.2 </t>
  </si>
  <si>
    <t>ASSENTAMENTO DE POSTE DE CONCRETO COM COMPRIMENTO NOMINAL DE 10 M, CARGA NOMINAL MENOR OU IGUAL A 1000 DAN, ENGASTAMENTO SIMPLES COM 1,6 M DE SOLO (NÃO INCLUI FORNECIMENTO). AF_11/2019</t>
  </si>
  <si>
    <t xml:space="preserve"> 18.6.3 </t>
  </si>
  <si>
    <t>POSTE DE CONCRETO ARMADO DE SECAO DUPLO T, EXTENSAO DE 10,00 M, RESISTENCIA DE 600 DAN, TIPO B</t>
  </si>
  <si>
    <t xml:space="preserve"> 18.6.4 </t>
  </si>
  <si>
    <t>TRANSFORMADOR DE DISTRIBUIÇÃO, 500KVA, TRIFÁSICO, 60 HZ, CLASSE 15 KV, IMERSO EM ÓLEO MINERAL, INSTALAÇÃO EM SOLO (NÃO INCLUSO ABRIGO) - FORNECIMENTO E INSTALAÇÃO. AF_02/2022</t>
  </si>
  <si>
    <t xml:space="preserve"> 18.6.5 </t>
  </si>
  <si>
    <t>ISOLADOR, TIPO DISCO, PARA TENSÃO 15 KV - FORNECIMENTO E INSTALAÇÃO. AF_07/2020</t>
  </si>
  <si>
    <t xml:space="preserve"> 18.6.6 </t>
  </si>
  <si>
    <t>ALÇA PREFORMADA DE DISTRIBUIÇÃO, EM  AÇO GALVANIZADO, AWG 2 - FORNECIMENTO E INSTALAÇÃO. AF_07/2020</t>
  </si>
  <si>
    <t xml:space="preserve"> 18.6.7 </t>
  </si>
  <si>
    <t>CAIXA DE PROTECAO EXTERNA PARA MEDIDOR HOROSAZONAL, DE BAIXA TENSAO, COM MODULO, EM CHAPA DE ACO (PADRAO DA CONCESSIONARIA LOCAL)</t>
  </si>
  <si>
    <t xml:space="preserve"> 18.6.8 </t>
  </si>
  <si>
    <t>TERMINAL A COMPRESSAO EM COBRE ESTANHADO PARA CABO 50 MM2, 1 FURO E 1 COMPRESSAO, PARA PARAFUSO DE FIXACAO M8</t>
  </si>
  <si>
    <t xml:space="preserve"> 18.6.9 </t>
  </si>
  <si>
    <t>TERMINAL A COMPRESSAO EM COBRE ESTANHADO PARA CABO 70 MM2, 1 FURO E 1 COMPRESSAO, PARA PARAFUSO DE FIXACAO M10</t>
  </si>
  <si>
    <t xml:space="preserve"> 18.6.10 </t>
  </si>
  <si>
    <t>FITA ACO INOX PARA CINTAR POSTE, L = 19 MM, E = 0,5 MM (ROLO DE 30M)</t>
  </si>
  <si>
    <t xml:space="preserve"> 18.6.11 </t>
  </si>
  <si>
    <t>TERMINAL COMPRESSAO CABO FLEXIVEL 120MM 2 FUROS 120MM</t>
  </si>
  <si>
    <t xml:space="preserve"> 18.7 </t>
  </si>
  <si>
    <t>ATERRAMENTO E SPDA</t>
  </si>
  <si>
    <t xml:space="preserve"> 18.7.1 </t>
  </si>
  <si>
    <t>CORDOALHA DE COBRE NU 50 MM², ENTERRADA, SEM ISOLADOR - FORNECIMENTO E INSTALAÇÃO. AF_12/2017</t>
  </si>
  <si>
    <t xml:space="preserve"> 18.7.2 </t>
  </si>
  <si>
    <t>INSTALAÇÃO DE SINALIZADOR NOTURNO LED. AF_11/2017</t>
  </si>
  <si>
    <t xml:space="preserve"> 18.7.3 </t>
  </si>
  <si>
    <t>HASTE DE ATERRAMENTO 5/8  PARA SPDA - FORNECIMENTO E INSTALAÇÃO. AF_12/2017</t>
  </si>
  <si>
    <t xml:space="preserve"> 18.7.4 </t>
  </si>
  <si>
    <t>CAIXA DE INSPEÇÃO PARA ATERRAMENTO, CIRCULAR, EM POLIETILENO, DIÂMETRO INTERNO = 0,3 M. AF_12/2020</t>
  </si>
  <si>
    <t xml:space="preserve"> 18.7.5 </t>
  </si>
  <si>
    <t>VERGALHAO ZINCADO ROSCA TOTAL, 1/4 " (6,3 MM)</t>
  </si>
  <si>
    <t xml:space="preserve"> 18.7.6 </t>
  </si>
  <si>
    <t>GRAMPO U DE 5/8 " N8 EM FERRO GALVANIZADO</t>
  </si>
  <si>
    <t xml:space="preserve"> 18.7.7 </t>
  </si>
  <si>
    <t>MASTRO 1 ½  PARA SPDA - FORNECIMENTO E INSTALAÇÃO. AF_12/2017</t>
  </si>
  <si>
    <t xml:space="preserve"> 18.7.8 </t>
  </si>
  <si>
    <t>BASE METÁLICA PARA MASTRO 1 ½  PARA SPDA - FORNECIMENTO E INSTALAÇÃO. AF_12/2017</t>
  </si>
  <si>
    <t xml:space="preserve"> 18.7.9 </t>
  </si>
  <si>
    <t>CABO DE COBRE NU MEIO DURO 7 FIOS 150mm2</t>
  </si>
  <si>
    <t xml:space="preserve"> 18.8 </t>
  </si>
  <si>
    <t>ELETROCALHAS, INCLUSIVE TAMPA E ACESSÓRIOS</t>
  </si>
  <si>
    <t xml:space="preserve"> 18.8.1 </t>
  </si>
  <si>
    <t>ELETROCALHA PERFURADA TIPO ""U"" 100X100 CHAPA 22 SEM TAMPA</t>
  </si>
  <si>
    <t xml:space="preserve"> 18.8.2 </t>
  </si>
  <si>
    <t>ELETROCALHA PERFURADA TIPO ""U"" 100x75mm CHAPA 20 S/ TAMPA</t>
  </si>
  <si>
    <t xml:space="preserve"> 18.8.3 </t>
  </si>
  <si>
    <t>ELETROCALHA PERFURADA TIPO ""U"" 100X50 CHAPA 20 SEM TAMPA</t>
  </si>
  <si>
    <t xml:space="preserve"> 18.8.4 </t>
  </si>
  <si>
    <t>ELETROCALHA PERFURADA TIPO ""U"" 150X100 CHAPA 18 SEM TAMPA</t>
  </si>
  <si>
    <t xml:space="preserve"> 18.8.5 </t>
  </si>
  <si>
    <t>ELETROCALHA LISA TIPO ""U"" 150x75 CHAPA 18 SEM TAMPA</t>
  </si>
  <si>
    <t xml:space="preserve"> 18.8.6 </t>
  </si>
  <si>
    <t>ELETROCALHA PERFURADA TIPO ""U"" 200X100 CHAPA 22 SEM TAMPA</t>
  </si>
  <si>
    <t xml:space="preserve"> 18.8.7 </t>
  </si>
  <si>
    <t>ELETROCALHA PERFURADA TIPO ""U"" 300X100 CHAPA 18 SEM TAMPA</t>
  </si>
  <si>
    <t xml:space="preserve"> 18.8.8 </t>
  </si>
  <si>
    <t>ELETROCALHA PERFURADA TIPO ""U"" 400x75mm CHAPA 16 SEM TAMPA</t>
  </si>
  <si>
    <t xml:space="preserve"> 18.8.9 </t>
  </si>
  <si>
    <t>ELETROCALHA PERFURADA 400x150x3000mm CHAPA 18</t>
  </si>
  <si>
    <t xml:space="preserve"> 18.8.10 </t>
  </si>
  <si>
    <t>ELETROCALHA PERFURADA TIPO ""U"" 75X50CM CHAPA 18 SEM TAMPA</t>
  </si>
  <si>
    <t xml:space="preserve"> 18.8.11 </t>
  </si>
  <si>
    <t>ELETROCALHA PERFURADA TIPO ""U"" 75x75mm CHAPA 18 SEM TAMPA</t>
  </si>
  <si>
    <t xml:space="preserve"> 18.8.12 </t>
  </si>
  <si>
    <t>ELETROCALHA PERFURADA TIPO ""U"" 50X50 CHAPA 18 SEM TAMPA</t>
  </si>
  <si>
    <t xml:space="preserve"> 18.8.13 </t>
  </si>
  <si>
    <t>PERFILADO PERFURADO 38x19x3000mm CHAPA 16</t>
  </si>
  <si>
    <t xml:space="preserve"> 18.8.14 </t>
  </si>
  <si>
    <t>PERFILADO PERFURADO 38x38x6000mm CHAPA 22</t>
  </si>
  <si>
    <t xml:space="preserve"> 19 </t>
  </si>
  <si>
    <t>ELEVADOR</t>
  </si>
  <si>
    <t xml:space="preserve"> 19.1 </t>
  </si>
  <si>
    <t>Elevador elétrico social para 12 passageiros ou 900kg, com 07 paradas, painéis e teto em aço escovado, corrimão tubular, portas aço inox, cabina 1,20-frente x 2,20-fundo x altura 2,2m inoxidável,</t>
  </si>
  <si>
    <t xml:space="preserve"> 19.2 </t>
  </si>
  <si>
    <t>PLATAFORMA ELEVATORIA DE TRANSPORTE VERTICAL, DESNIVEL DE 2,0 ATE 4,00m CABINADA EM ACO INOX, PORTAS UNILATERAL OU OPOSTAS - ENCLAUSURAMENTO EM ESTRUTURA DE ACO E VIDRO</t>
  </si>
  <si>
    <t xml:space="preserve"> 19.3</t>
  </si>
  <si>
    <t>ELEVADOR DE CARGA 3m 300KG 220V MONTA CARGA</t>
  </si>
  <si>
    <t xml:space="preserve"> 19.4 </t>
  </si>
  <si>
    <t>Elevador elétrico social para 08 passageiros ou 600kg, com 07 paradas, paineis e teto em aço escovado, corrimão tubular, portas aço inoxi, cabina 1,20-frente x 1,40-fundo x altura 2,2m inoxidável, Atlas Schindler 3300, modelo Mediterranée ou similar</t>
  </si>
  <si>
    <t xml:space="preserve"> 20 </t>
  </si>
  <si>
    <t>INSTALAÇÃO DE COMBATE A INCENDIO E PÁNICO</t>
  </si>
  <si>
    <t xml:space="preserve"> 20.1 </t>
  </si>
  <si>
    <t>TUBO DE AÇO GALVANIZADO COM COSTURA, CLASSE MÉDIA, CONEXÃO RANHURADA, DN 65 (2 1/2"), INSTALADO EM PRUMADAS - FORNECIMENTO E INSTALAÇÃO. AF_10/2020</t>
  </si>
  <si>
    <t xml:space="preserve"> 20.2 </t>
  </si>
  <si>
    <t>JOELHO 90 GRAUS, EM FERRO GALVANIZADO, CONEXÃO ROSQUEADA, DN 65 (2 1/2"), INSTALADO EM REDE DE ALIMENTAÇÃO PARA SPRINKLER - FORNECIMENTO E INSTALAÇÃO. AF_10/2020</t>
  </si>
  <si>
    <t xml:space="preserve"> 20.3 </t>
  </si>
  <si>
    <t>TÊ, EM FERRO GALVANIZADO, CONEXÃO ROSQUEADA, DN 65 (2 1/2), INSTALADO EM RESERVAÇÃO DE ÁGUA DE EDIFICAÇÃO QUE POSSUA RESERVATÓRIO DE FIBRA/FIBROCIMENTO  FORNECIMENTO E INSTALAÇÃO. AF_06/2016</t>
  </si>
  <si>
    <t xml:space="preserve"> 20.4 </t>
  </si>
  <si>
    <t>ABRIGO PARA HIDRANTE, 75X45X17CM, COM REGISTRO GLOBO ANGULAR 45 GRAUS 2 1/2", ADAPTADOR STORZ 2 1/2", MANGUEIRA DE INCÊNDIO 15M 2 1/2" E ESGUICHO EM LATÃO 2 1/2" - FORNECIMENTO E INSTALAÇÃO. AF_10/2020</t>
  </si>
  <si>
    <t xml:space="preserve"> 20.5 </t>
  </si>
  <si>
    <t>REGISTRO OU VÁLVULA GLOBO ANGULAR EM LATÃO, PARA HIDRANTES EM INSTALAÇÃO PREDIAL DE INCÊNDIO, 45 GRAUS, 2 1/2" - FORNECIMENTO E INSTALAÇÃO. AF_08/2021</t>
  </si>
  <si>
    <t xml:space="preserve"> 20.6 </t>
  </si>
  <si>
    <t>EXTINTOR DE INCÊNDIO PORTÁTIL COM CARGA DE CO2 DE 6 KG, CLASSE BC - FORNECIMENTO E INSTALAÇÃO. AF_10/2020_PE</t>
  </si>
  <si>
    <t xml:space="preserve"> 20.7 </t>
  </si>
  <si>
    <t>EXTINTOR DE INCÊNDIO PORTÁTIL COM CARGA DE PQS DE 6 KG, CLASSE BC - FORNECIMENTO E INSTALAÇÃO. AF_10/2020_PE</t>
  </si>
  <si>
    <t xml:space="preserve"> 20.8 </t>
  </si>
  <si>
    <t>SINALIZAÇÃO  DE INCÊNDIO</t>
  </si>
  <si>
    <t xml:space="preserve"> 20.9 </t>
  </si>
  <si>
    <t>SIRENE AUDIO VISUAL ALARME DE INCENDIO ILUMAC SAF-C 24VCC</t>
  </si>
  <si>
    <t xml:space="preserve"> 20.10 </t>
  </si>
  <si>
    <t>TAMPAO FOFO SIMPLES, CLASSE A15 CARGA MAX 1,5 T, 550 X 1100 MM (COM INSCRICAO EM RELEVO DO TIPO DE REDE)(INCENDIO)</t>
  </si>
  <si>
    <t xml:space="preserve"> 20.11 </t>
  </si>
  <si>
    <t>CENTRAL DE ALARME DE INCENDIO INTELBRAS CIE 1250 ENDERECAVEL 1 LACO COM ATE 250 ENDERECOS 24VDC</t>
  </si>
  <si>
    <t xml:space="preserve"> 20.12 </t>
  </si>
  <si>
    <t>ACIONADOR MANUAL DE ALARME CONTRA INCENDIO</t>
  </si>
  <si>
    <t xml:space="preserve"> 20.13 </t>
  </si>
  <si>
    <t>BLOCO AUTONOMO 300 LUMENS</t>
  </si>
  <si>
    <t xml:space="preserve"> 20.14 </t>
  </si>
  <si>
    <t>DETECTOR (SENSOR) DE FUMACA COM BASE - ENDERECAVEL DTI-700 J</t>
  </si>
  <si>
    <t xml:space="preserve"> 20.15 </t>
  </si>
  <si>
    <t>BLOCO AUTONOMO P/ SINALIZACAO DE SÄ́A DE EMERGʎCIA DE TETO</t>
  </si>
  <si>
    <t xml:space="preserve"> 20.16 </t>
  </si>
  <si>
    <t>DETECTOR DE TEMPERATURA ENDERECAVEL DTC 420 INTELBRAS</t>
  </si>
  <si>
    <t xml:space="preserve"> 20.17 </t>
  </si>
  <si>
    <t>INSTALAÇÃO DE CENTRAL DE ALARME DE INCÊNDIO</t>
  </si>
  <si>
    <t xml:space="preserve"> 20.18 </t>
  </si>
  <si>
    <t>(BASEADA NA COMPOSIÇÃO SINAPI 97599 ) , INSTALAÇÃO DE BLOCO AUTONOMO 300 LUMENS</t>
  </si>
  <si>
    <t xml:space="preserve"> 20.19 </t>
  </si>
  <si>
    <t>MODIFICADA (TAMPAO DE FERRO FUNDIDO )INSTALAÇÃO</t>
  </si>
  <si>
    <t xml:space="preserve"> 21 </t>
  </si>
  <si>
    <t>DIVERSOS</t>
  </si>
  <si>
    <t xml:space="preserve"> 21.1 </t>
  </si>
  <si>
    <t>BANCADA/TAMPO SECO EM GRANITO BRANCO SIENA</t>
  </si>
  <si>
    <t>m²</t>
  </si>
  <si>
    <t xml:space="preserve"> 21.2 </t>
  </si>
  <si>
    <t>CLARABOIA EM PERFIL DE ALUMINIO E DOMO ACRILICO</t>
  </si>
  <si>
    <t xml:space="preserve"> 21.3 </t>
  </si>
  <si>
    <t>CORRIMAO EM TUBO ACO 1"" PINTADO EM ESMALTE</t>
  </si>
  <si>
    <t xml:space="preserve"> 21.4 </t>
  </si>
  <si>
    <t>CORRIMAO EM TUBO DE AǏ INOX ؽ1 1/2""</t>
  </si>
  <si>
    <t xml:space="preserve"> 22 </t>
  </si>
  <si>
    <t>JARDINAGEM</t>
  </si>
  <si>
    <t xml:space="preserve"> 22.1 </t>
  </si>
  <si>
    <t>MODIFICADO(PLANTIO DE GRAMA ESMERALDA OU SÃO CARLOS OU CURITIBANA, EM PLACAS. AF_05/2022</t>
  </si>
  <si>
    <t xml:space="preserve"> 22.2 </t>
  </si>
  <si>
    <t>PLANTIO DE ARBUSTO OU  CERCA VIVA. AF_05/2018</t>
  </si>
  <si>
    <t xml:space="preserve"> 22.3 </t>
  </si>
  <si>
    <t>ARGILA OU BARRO PARA ATERRO/REATERRO (COM TRANSPORTE ATE 10 KM)</t>
  </si>
  <si>
    <t>m³</t>
  </si>
  <si>
    <t xml:space="preserve"> 23 </t>
  </si>
  <si>
    <t>LÓGICA</t>
  </si>
  <si>
    <t xml:space="preserve"> 23.1 </t>
  </si>
  <si>
    <t>CABEAMENTO EXTRUTURADO (FIBRA ÓPTICA)</t>
  </si>
  <si>
    <t xml:space="preserve"> 23.1.2 </t>
  </si>
  <si>
    <t>CABO DE FIBRA OPTICA 6 FIBRAS - PADRAO MONOMODO</t>
  </si>
  <si>
    <t xml:space="preserve"> 23.1.3 </t>
  </si>
  <si>
    <t>CABO DE FIBRA OPTICA 1fo - PADRAO MONOMODO</t>
  </si>
  <si>
    <t>m</t>
  </si>
  <si>
    <t>ONU GPON HG1 MODEM BRIDGE</t>
  </si>
  <si>
    <t xml:space="preserve"> 23.1.5 </t>
  </si>
  <si>
    <t>CERTIFICACAO DE CABEAMENTO DE FIBRA OPTICA</t>
  </si>
  <si>
    <t>CJ</t>
  </si>
  <si>
    <t xml:space="preserve"> 23.1.6 </t>
  </si>
  <si>
    <t>ELETROCALHA LISA TIPO ""U"" 50x50mm CHAPA 20 SEM TAMPA</t>
  </si>
  <si>
    <t xml:space="preserve"> 23.1.7 </t>
  </si>
  <si>
    <t xml:space="preserve"> 24 </t>
  </si>
  <si>
    <t>REFORMA  E RECUPERAÇÃO ESTRUTURAL  DAS CASAS SETOR (1 E 2)</t>
  </si>
  <si>
    <t xml:space="preserve"> 24.1 </t>
  </si>
  <si>
    <t>SERVIÇOS PRELIMINARES (CASAS SETOR 1 E 2)</t>
  </si>
  <si>
    <t xml:space="preserve"> 24.1.1 </t>
  </si>
  <si>
    <t>LIMPEZA DE SUPERFÍCIE COM JATO DE ALTA PRESSÃO. AF_04/2019</t>
  </si>
  <si>
    <t xml:space="preserve"> 24.1.2 </t>
  </si>
  <si>
    <t>CORTE RASO E RECORTE DE ÁRVORE COM DIÂMETRO DE TRONCO MAIOR OU IGUAL A 0,60 M.AF_05/2018</t>
  </si>
  <si>
    <t xml:space="preserve"> 24.1.3 </t>
  </si>
  <si>
    <t>CORTE RASO E RECORTE DE ÁRVORE COM DIÂMETRO DE TRONCO MAIOR OU IGUAL A 0,40 M E MENOR QUE 0,60 M.AF_05/2018</t>
  </si>
  <si>
    <t xml:space="preserve"> 24.1.4 </t>
  </si>
  <si>
    <t>REMOÇÃO DE RAÍZES REMANESCENTES DE TRONCO DE ÁRVORE COM DIÂMETRO MAIOR OU IGUAL A 0,40 M E MENOR QUE 0,60 M.AF_05/2018</t>
  </si>
  <si>
    <t xml:space="preserve"> 24.1.6 </t>
  </si>
  <si>
    <t>REVOLVIMENTO E LIMPEZA MANUAL DE SOLO. AF_05/2018</t>
  </si>
  <si>
    <t xml:space="preserve"> 24.1.7 </t>
  </si>
  <si>
    <t>RETROESCAVADEIRA SOBRE RODAS COM CARREGADEIRA, TRAÇÃO 4X4, POTÊNCIA LÍQ. 72 HP, CAÇAMBA CARREG. CAP. MÍN. 0,79 M3, CAÇAMBA RETRO CAP. 0,18 M3, PESO OPERACIONAL MÍN. 7.140 KG, PROFUNDIDADE ESCAVAÇÃO MÁX. 4,50 M - CHP DIURNO. AF_06/2014</t>
  </si>
  <si>
    <t>CHP</t>
  </si>
  <si>
    <t xml:space="preserve"> 24.1.8 </t>
  </si>
  <si>
    <t>DEMOLIÇÃO DE PILARES E VIGAS EM CONCRETO ARMADO, DE FORMA MANUAL, SEM REAPROVEITAMENTO. AF_12/2017</t>
  </si>
  <si>
    <t xml:space="preserve"> 24.1.9 </t>
  </si>
  <si>
    <t>CORTADORA DE PISO COM MOTOR 4 TEMPOS A GASOLINA, POTÊNCIA DE 13 HP, COM DISCO DE CORTE DIAMANTADO SEGMENTADO PARA CONCRETO, DIÂMETRO DE 350 MM, FURO DE 1" (14 X 1") - CHP DIURNO. AF_08/2015</t>
  </si>
  <si>
    <t xml:space="preserve"> 24.1.10 </t>
  </si>
  <si>
    <t>DEMOLIÇÃO DE ARGAMASSAS, DE FORMA MANUAL, SEM REAPROVEITAMENTO. AF_12/2017</t>
  </si>
  <si>
    <t xml:space="preserve"> 24.1.11 </t>
  </si>
  <si>
    <t>REMOÇÃO DE PORTAS, DE FORMA MANUAL, SEM REAPROVEITAMENTO. AF_12/2017</t>
  </si>
  <si>
    <t xml:space="preserve"> 24.1.12 </t>
  </si>
  <si>
    <t>DEMOLIÇÃO DE ALVENARIA DE TIJOLO MACIÇO, DE FORMA MANUAL, SEM REAPROVEITAMENTO. AF_12/2017</t>
  </si>
  <si>
    <t xml:space="preserve"> 24.2 </t>
  </si>
  <si>
    <t>FUNDAÇÃO E ESTRUTURA</t>
  </si>
  <si>
    <t xml:space="preserve"> 24.2.1 </t>
  </si>
  <si>
    <t>LASTRO DE CONCRETO MAGRO, APLICADO EM PISOS, LAJES SOBRE SOLO OU RADIERS. AF_08/2017</t>
  </si>
  <si>
    <t xml:space="preserve"> 24.2.2 </t>
  </si>
  <si>
    <t>ARMAÇÃO PARA EXECUÇÃO DE RADIER, PISO DE CONCRETO OU LAJE SOBRE SOLO, COM USO DE TELA Q-283. AF_09/2021</t>
  </si>
  <si>
    <t xml:space="preserve"> 24.2.3 </t>
  </si>
  <si>
    <t>ARMAÇÃO DE BLOCO, VIGA BALDRAME OU SAPATA UTILIZANDO AÇO CA-50 DE 10 MM - MONTAGEM. AF_06/2017</t>
  </si>
  <si>
    <t xml:space="preserve"> 24.2.4 </t>
  </si>
  <si>
    <t>CONCRETAGEM DE SAPATAS, FCK 30 MPA, COM USO DE BOMBA  LANÇAMENTO, ADENSAMENTO E ACABAMENTO. AF_11/2016</t>
  </si>
  <si>
    <t xml:space="preserve"> 24.2.5 </t>
  </si>
  <si>
    <t>LAJE PRÉ-MOLDADA UNIDIRECIONAL, BIAPOIADA, PARA PISO, ENCHIMENTO EM CERÂMICA, VIGOTA CONVENCIONAL, ALTURA TOTAL DA LAJE (ENCHIMENTO+CAPA) = (8+4). AF_11/2020_PA</t>
  </si>
  <si>
    <t xml:space="preserve"> 24.2.6 </t>
  </si>
  <si>
    <t xml:space="preserve"> 24.2.7 </t>
  </si>
  <si>
    <t xml:space="preserve"> 24.3 </t>
  </si>
  <si>
    <t>COBERTA</t>
  </si>
  <si>
    <t xml:space="preserve"> 24.3.1 </t>
  </si>
  <si>
    <t>TRAMA DE MADEIRA COMPOSTA POR RIPAS, CAIBROS E TERÇAS PARA TELHADOS DE ATÉ 2 ÁGUAS PARA TELHA DE ENCAIXE DE CERÂMICA OU DE CONCRETO, INCLUSO TRANSPORTE VERTICAL. AF_07/2019</t>
  </si>
  <si>
    <t xml:space="preserve"> 24.3.2 </t>
  </si>
  <si>
    <t>TELHAMENTO COM TELHA CERÂMICA CAPA-CANAL, TIPO PLAN, COM MAIS DE 2 ÁGUAS, INCLUSO TRANSPORTE VERTICAL. AF_07/2019</t>
  </si>
  <si>
    <t xml:space="preserve"> 24.3.3 </t>
  </si>
  <si>
    <t>FABRICAÇÃO E INSTALAÇÃO DE TESOURA INTEIRA EM MADEIRA NÃO APARELHADA, VÃO DE 12 M, PARA TELHA CERÂMICA OU DE CONCRETO, INCLUSO IÇAMENTO. AF_07/2019</t>
  </si>
  <si>
    <t xml:space="preserve"> 24.3.4 </t>
  </si>
  <si>
    <t>EMBOÇAMENTO COM ARGAMASSA TRAÇO 1:2:9 (CIMENTO, CAL E AREIA). AF_07/2019</t>
  </si>
  <si>
    <t xml:space="preserve"> 24.4 </t>
  </si>
  <si>
    <t xml:space="preserve"> 24.4.1 </t>
  </si>
  <si>
    <t>(ALTERADA) BANCADA DE GRANITO CINZA POLIDO,(1,46*0,4)m PARA PIA DE COZINHA - FORNECIMENTO E INSTALAÇÃO. AF_01/2020</t>
  </si>
  <si>
    <t xml:space="preserve"> 24.4.2 </t>
  </si>
  <si>
    <t>CUBA DE EMBUTIR DE AÇO INOXIDÁVEL MÉDIA, INCLUSO VÁLVULA TIPO AMERICANA E SIFÃO TIPO GARRAFA EM METAL CROMADO - FORNECIMENTO E INSTALAÇÃO. AF_01/2020</t>
  </si>
  <si>
    <t xml:space="preserve"> 24.4.3 </t>
  </si>
  <si>
    <t>TORNEIRA CROMADA TUBO MÓVEL, DE MESA, 1/2 OU 3/4, PARA PIA DE COZINHA, PADRÃO ALTO - FORNECIMENTO E INSTALAÇÃO. AF_01/2020</t>
  </si>
  <si>
    <t xml:space="preserve"> 24.4.4 </t>
  </si>
  <si>
    <t>(ALTERADA)BANCADA DE GRANITO CINZA  POLIDO,(0,40x0,40)m PARA LAVATÓRIO - FORNECIMENTO E INSTALAÇÃO. AF_01/2020</t>
  </si>
  <si>
    <t xml:space="preserve"> 24.4.5 </t>
  </si>
  <si>
    <t>CUBA DE EMBUTIR OVAL EM LOUÇA BRANCA, DIAMETRO ,40CM OU EQUIVALENTE, INCLUSO VÁLVULA EM METAL CROMADO E SIFÃO FLEXÍVEL EM PVC - FORNECIMENTO E INSTALAÇÃO. AF_01/2020</t>
  </si>
  <si>
    <t xml:space="preserve"> 24.4.6 </t>
  </si>
  <si>
    <t xml:space="preserve"> 24.4.7 </t>
  </si>
  <si>
    <t>GRAUTEAMENTO VERTICAL EM ALVENARIA ESTRUTURAL. AF_09/2021</t>
  </si>
  <si>
    <t xml:space="preserve"> 24.4.8 </t>
  </si>
  <si>
    <t>GRAUTEAMENTO DE CINTA INTERMEDIÁRIA OU DE CONTRAVERGA EM ALVENARIA ESTRUTURAL. AF_09/2021</t>
  </si>
  <si>
    <t xml:space="preserve"> 24.4.9 </t>
  </si>
  <si>
    <t>ESCARIFICACAO DE SUPERFICIES DE CONCRETO-MEIO MECANICO</t>
  </si>
  <si>
    <t xml:space="preserve"> 24.4.10 </t>
  </si>
  <si>
    <t>Restauro - Execução de ornato com confecção de molde e fôrma - 02 usos</t>
  </si>
  <si>
    <t xml:space="preserve"> 24.4.11 </t>
  </si>
  <si>
    <t>GRADIL EM FERRO FIXADO EM VÃOS DE JANELAS, FORMADO POR BARRAS CHATAS DE 25X4,8 MM. AF_04/2019</t>
  </si>
  <si>
    <t xml:space="preserve"> 24.5 </t>
  </si>
  <si>
    <t>REBOCO</t>
  </si>
  <si>
    <t xml:space="preserve"> 24.5.1 </t>
  </si>
  <si>
    <t>CHAPISCO APLICADO EM ALVENARIAS E ESTRUTURAS DE CONCRETO INTERNAS, COM COLHER DE PEDREIRO.  ARGAMASSA TRAÇO 1:3 COM PREPARO EM BETONEIRA 400L. AF_10/2022</t>
  </si>
  <si>
    <t xml:space="preserve"> 24.5.2 </t>
  </si>
  <si>
    <t>(BEIRA BICO )EMBOÇO OU MASSA ÚNICA EM ARGAMASSA TRAÇO 1:2:8, PREPARO MECÂNICA COM BETONEIRA 400 L, APLICADA MANUALMENTE EM SUPERFÍCIES EXTERNAS DA SACADA, ESPESSURA DE 35 MM, ACESSO POR ANDAIME, SEM USO DE TELA METÁLICA. AF_08/2022</t>
  </si>
  <si>
    <t xml:space="preserve"> 24.5.3 </t>
  </si>
  <si>
    <t xml:space="preserve"> 24.5.3.1 </t>
  </si>
  <si>
    <t xml:space="preserve"> 24.5.3.2 </t>
  </si>
  <si>
    <t>APLICAÇÃO MANUAL DE MASSA ACRÍLICA EM PANOS DE FACHADA SEM PRESENÇA DE VÃOS, DE EDIFÍCIOS DE MÚLTIPLOS PAVIMENTOS, DUAS DEMÃOS. AF_05/2017</t>
  </si>
  <si>
    <t xml:space="preserve"> 24.5.3.3 </t>
  </si>
  <si>
    <t>APLICAÇÃO MANUAL DE TINTA LÁTEX ACRÍLICA EM PANOS SEM PRESENÇA DE VÃOS DE EDIFÍCIOS DE MÚLTIPLOS PAVIMENTOS, DUAS DEMÃOS. AF_11/2016</t>
  </si>
  <si>
    <t xml:space="preserve"> 24.5.3.4 </t>
  </si>
  <si>
    <t>IMPERMEABILIZAÇÃO DE SUPERFÍCIE COM MEMBRANA À BASE DE RESINA ACRÍLICA, 3 DEMÃOS. AF_06/2018</t>
  </si>
  <si>
    <t xml:space="preserve"> 24.5.3.5 </t>
  </si>
  <si>
    <t>PINTURA COM TINTA ALQUÍDICA DE ACABAMENTO (ESMALTE SINTÉTICO ACETINADO) APLICADA A ROLO OU PINCEL SOBRE SUPERFÍCIES METÁLICAS (EXCETO PERFIL) EXECUTADO EM OBRA (02 DEMÃOS). AF_01/2020</t>
  </si>
  <si>
    <t xml:space="preserve"> 25 </t>
  </si>
  <si>
    <t>LIMPEZA FINAL DA OBRA</t>
  </si>
  <si>
    <t xml:space="preserve"> 25.1 </t>
  </si>
  <si>
    <t>OBRA : CONSTRUÇÃO E REFORMA DA NOVA SEDE DA CÂMARA MUNICIPAL DE JOÃO PESSOA</t>
  </si>
  <si>
    <t>Local</t>
  </si>
  <si>
    <t>Área (m²)</t>
  </si>
  <si>
    <t>Altura (m)</t>
  </si>
  <si>
    <t>Comprimento (m)</t>
  </si>
  <si>
    <t>% MEDIDO AC</t>
  </si>
  <si>
    <t>1.0</t>
  </si>
  <si>
    <t>1.1</t>
  </si>
  <si>
    <t>6.0</t>
  </si>
  <si>
    <t>Total de aministração de obra executado (und) =</t>
  </si>
  <si>
    <t>Total de aministração de obra de contrato (und) =</t>
  </si>
  <si>
    <t>4.3.1.3</t>
  </si>
  <si>
    <t>4.3.1.4</t>
  </si>
  <si>
    <t>ESTACA HÉLICE CONTÍNUA, DIÂMETRO DE 40 CM, INCLUSO CONCRETO FCK=30MPA E ARMADURA MÍNIMA (EXCLUSIVE MOBILIZAÇÃO, DESMOBILIZAÇÃO E BOMBEAMENTO).</t>
  </si>
  <si>
    <t>4.3.1.5</t>
  </si>
  <si>
    <t xml:space="preserve">ARRASAMENTO MECANICO DE ESTACA DE CONCRETO ARMADO, DIAMETROS DE ATÉ 40 CM. AF_05/2021 </t>
  </si>
  <si>
    <t>4.3.1.6</t>
  </si>
  <si>
    <t>PEDRA ARGAMASSADA COM CIMENTO E AREIA 1:3, 40% DE ARGAMASSA EM VOLUME  - AREIA E PEDRA DE MÃO COMERCIAIS - FORNECIMENTO E ASSENTAMENTO. AF_08/2022</t>
  </si>
  <si>
    <t xml:space="preserve"> 4.3.2.15</t>
  </si>
  <si>
    <t xml:space="preserve"> 4.3.2.16</t>
  </si>
  <si>
    <t>CONCRETAGEM DE BLOCO DE COROAMENTO OU VIGA BALDRAME, FCK 35 MPA, COM USO DE BOMBA - LANÇAMENTO, ADENSAMENTO E ACABAMENTO</t>
  </si>
  <si>
    <t>ARMAÇÃO DE BLOCO, VIGA BALDRAME E SAPATA UTILIZANDO AÇO CA-50 DE 10 MM - MONTAGEM.</t>
  </si>
  <si>
    <t>5.6</t>
  </si>
  <si>
    <t>ARMAÇÃO DE PILAR OU VIGA DE ESTRUTURA CONVENCIONAL DE CONCRETO ARMADO UTILIZANDO AÇO CA-60 DE 5,0 MM - MONTAGEM. AF_06/2022</t>
  </si>
  <si>
    <t>5.7</t>
  </si>
  <si>
    <t>ARMAÇÃO DE PILAR OU VIGA DE ESTRUTURA CONVENCIONAL DE CONCRETO ARMADO UTILIZANDO AÇO CA-50 DE 6.3 MM - MONTAGEM. AF_06/2022</t>
  </si>
  <si>
    <t>5.8</t>
  </si>
  <si>
    <t>ARMAÇÃO DE PILAR OU VIGA DE ESTRUTURA CONVENCIONAL DE CONCRETO ARMADO UTILIZANDO AÇO CA-50 DE 8.0 MM - MONTAGEM. AF_06/2022</t>
  </si>
  <si>
    <t>5.9</t>
  </si>
  <si>
    <t>5.10</t>
  </si>
  <si>
    <t>ARMAÇÃO DE LAJE DE ESTRUTURA CONVENCIONAL DE CONCRETO ARMADO UTILIZANDO AÇO CA-50 DE 6,3 MM - MONTAGEM. AF_06/2022</t>
  </si>
  <si>
    <t>5.11</t>
  </si>
  <si>
    <t>ARMAÇÃO DE LAJE DE ESTRUTURA CONVENCIONAL DE CONCRETO ARMADO UTILIZANDO AÇO CA-50 DE 8,0 MM - MONTAGEM. AF_06/2022</t>
  </si>
  <si>
    <t>5.12</t>
  </si>
  <si>
    <t>ARMAÇÃO DE LAJE DE ESTRUTURA CONVENCIONAL DE CONCRETO ARMADO UTILIZANDO AÇO CA-50 DE 10,0 MM - MONTAGEM. AF_06/2022</t>
  </si>
  <si>
    <t>5.13</t>
  </si>
  <si>
    <t>ARMAÇÃO DE LAJE DE ESTRUTURA CONVENCIONAL DE CONCRETO ARMADO UTILIZANDO AÇO CA-50 DE 12,5 MM - MONTAGEM. AF_06/2022</t>
  </si>
  <si>
    <t>5.14</t>
  </si>
  <si>
    <t>ARMAÇÃO DE LAJE DE ESTRUTURA CONVENCIONAL DE CONCRETO ARMADO UTILIZANDO AÇO CA-50 DE 16,0 MM - MONTAGEM. AF_06/2022</t>
  </si>
  <si>
    <t>5.15</t>
  </si>
  <si>
    <t>LAJE TRELIÇADA COM TRELIÇAS TG12L E LAJOTAS EM CERÂMICA</t>
  </si>
  <si>
    <t>5.16</t>
  </si>
  <si>
    <t>CONCRETAGEM DE EDIFICAÇÕES (PAREDES E LAJES) , COM CONCRETO USINADO BOMBEÁVEL FCK 35 MPA - LANÇAMENTO, ADENSAMENTO E ACABAMENTO</t>
  </si>
  <si>
    <t>5.17</t>
  </si>
  <si>
    <t>ESCORAMENTO MISTO (METÁLICO E MADEIRA) PARA LAJES, INCLUSIVE MONTAGEM E DESMONTAGEM</t>
  </si>
  <si>
    <t>ok</t>
  </si>
  <si>
    <t>24.1.13</t>
  </si>
  <si>
    <t>ESCORAMENTO DE PAREDES EM AÇO COM TORRE DE ANDAIMES (ANEXO 1 E 2)</t>
  </si>
  <si>
    <t>24.2.8</t>
  </si>
  <si>
    <t>24.2.9</t>
  </si>
  <si>
    <t>24.2.10</t>
  </si>
  <si>
    <t>M³/dia</t>
  </si>
  <si>
    <t>9.0</t>
  </si>
  <si>
    <t>9.1</t>
  </si>
  <si>
    <t>9.1.1</t>
  </si>
  <si>
    <t>9.1.2</t>
  </si>
  <si>
    <t>Total de área de chapisco aplicado executado (m²) =</t>
  </si>
  <si>
    <t>Total de área chapisco aplicado de contrato (m²) =</t>
  </si>
  <si>
    <t>Total de área de massa única executado (m²) =</t>
  </si>
  <si>
    <t>Total de área de massa única de contrato (m²) =</t>
  </si>
  <si>
    <t>Copa</t>
  </si>
  <si>
    <t>Wc feminino</t>
  </si>
  <si>
    <t>Wc masculino</t>
  </si>
  <si>
    <t>Quantidade (und)</t>
  </si>
  <si>
    <t>Shaft</t>
  </si>
  <si>
    <t>Área Total (m²)</t>
  </si>
  <si>
    <t>12.0</t>
  </si>
  <si>
    <t>12.4</t>
  </si>
  <si>
    <t>Total de contrapiso em argamassa executado (m²)=</t>
  </si>
  <si>
    <t>Total de contrapiso em argamassa de contrato (m²)=</t>
  </si>
  <si>
    <t>Enfermaria</t>
  </si>
  <si>
    <t>Wc masc. 01</t>
  </si>
  <si>
    <t>Wc fem. 01</t>
  </si>
  <si>
    <t>Administração</t>
  </si>
  <si>
    <t>Circulação</t>
  </si>
  <si>
    <t>Hall 01</t>
  </si>
  <si>
    <t>Hall 02</t>
  </si>
  <si>
    <t>Recepção</t>
  </si>
  <si>
    <t xml:space="preserve">Café </t>
  </si>
  <si>
    <t>Apoio</t>
  </si>
  <si>
    <t>Sala de estar vip</t>
  </si>
  <si>
    <t>Wc fem 02</t>
  </si>
  <si>
    <t>Wc masc. 02</t>
  </si>
  <si>
    <t>Sala 01</t>
  </si>
  <si>
    <t>Total de área de contrapiso em argamassa executado (m²) =</t>
  </si>
  <si>
    <t>Total de área contrapiso em argamassa de contrato (m²) =</t>
  </si>
  <si>
    <t>Depósito</t>
  </si>
  <si>
    <t>6.4</t>
  </si>
  <si>
    <t>Total (m²)</t>
  </si>
  <si>
    <t>Total de área de alvenaria de vedação executado (m²) =</t>
  </si>
  <si>
    <t>Total de área de alvenaria de vedação de contrato (m²) =</t>
  </si>
  <si>
    <t>Térreo (casarão)</t>
  </si>
  <si>
    <t>Salão nobre</t>
  </si>
  <si>
    <t>Hall</t>
  </si>
  <si>
    <t>Camarim</t>
  </si>
  <si>
    <t>Servidor</t>
  </si>
  <si>
    <t>Wc PCD</t>
  </si>
  <si>
    <t>5.0</t>
  </si>
  <si>
    <t>ESTRUTURA</t>
  </si>
  <si>
    <t>Escada</t>
  </si>
  <si>
    <t>1º Pavimento</t>
  </si>
  <si>
    <t>24.0</t>
  </si>
  <si>
    <t>17.0</t>
  </si>
  <si>
    <t>17.3</t>
  </si>
  <si>
    <t>2º Pavimento</t>
  </si>
  <si>
    <t>3º Pavimento</t>
  </si>
  <si>
    <t>Circulação restrita</t>
  </si>
  <si>
    <t>Wc vereador</t>
  </si>
  <si>
    <t>Total de área de chapisco aplicado até o BM 13 (m²) =</t>
  </si>
  <si>
    <t>Total de área de chapisco aplicado à medir no BM 14 (m²) =</t>
  </si>
  <si>
    <t>Total de massa única medido até o BM 13 (m²) =</t>
  </si>
  <si>
    <t>Total de área de massa única à medir no BM 14 (m²) =</t>
  </si>
  <si>
    <t>Total de área de chapisco aplicado aditar (m²) =</t>
  </si>
  <si>
    <t>Total de área de massa única aplicado aditar (m²) =</t>
  </si>
  <si>
    <t>9.2</t>
  </si>
  <si>
    <t>9.2.1</t>
  </si>
  <si>
    <t>9.2.2</t>
  </si>
  <si>
    <t>5.2</t>
  </si>
  <si>
    <t>COMPOSIÇÃO PARAMÉTRICA PARA FORNECIMENTO E MONTAGEM DE ESTRUTURA METÁLICA PARA ESTRUTURA PRINCIPAL DE EDIFICAÇÕES (PILARES, VIGAS E CONTRAVENTAMENTO).</t>
  </si>
  <si>
    <t>Foi considerado o peso total da estrutura do Projeto Estrutural executado (kg) =</t>
  </si>
  <si>
    <t>Peso total de fornecimento e montagem de estrutura metálica de contrato (kg)=</t>
  </si>
  <si>
    <t>Total de armação de pilar ou viga de contrato (kg) =</t>
  </si>
  <si>
    <t>Total de armação de pilar ou viga a aditar (kg) =</t>
  </si>
  <si>
    <t>Total de armação de pilar ou viga a medir no BM 15 (kg) =</t>
  </si>
  <si>
    <t>ARMAÇÃO DE PILAR OU VIGA DE ESTRUTURA CONVENCIONAL DE CONCRETO ARMADO UTILIZANDO AÇO CA-50 DE 8,0 MM - MONTAGEM. AF_06/2022</t>
  </si>
  <si>
    <t>Total de armação de laje de contrato (kg) =</t>
  </si>
  <si>
    <t>Total de laje a aditar (kg) =</t>
  </si>
  <si>
    <t>Total de armação de laje a medir no BM 15 (kg) =</t>
  </si>
  <si>
    <t>ARMAÇÃO DE PILAR OU VIGA DE ESTRUTURA CONVENCIONAL DE CONCRETO ARMADO UTILIZANDO AÇO CA-50 DE 5,0 MM - MONTAGEM. AF_06/2022</t>
  </si>
  <si>
    <t>ARMAÇÃO DE PILAR OU VIGA DE ESTRUTURA CONVENCIONAL DE CONCRETO ARMADO UTILIZANDO AÇO CA-50 DE 6,3 MM - MONTAGEM. AF_06/2022</t>
  </si>
  <si>
    <t>Total de armação de pilar ou viga aço CA-50 de 5,0mm executado (kg) =</t>
  </si>
  <si>
    <t>Total de armação de pilar ou viga a medido no BM 14 (kg) =</t>
  </si>
  <si>
    <t>Total de armação de pilar ou viga aço CA-50 de 8,0mm executado (kg) =</t>
  </si>
  <si>
    <t>Total de armação de pilar ou viga aço CA-50 6,3mm executado (kg) =</t>
  </si>
  <si>
    <t>Total de armação de pilar ou viga aço CA-50 10,0mm executado (kg) =</t>
  </si>
  <si>
    <t>Total de armação de laje medido no BM 14 (kg) =</t>
  </si>
  <si>
    <t>Total de armação de laje aço CA-50 de 8,0mm executado (kg) =</t>
  </si>
  <si>
    <t>Total de armação de laje aço CA-50 de 10,0mm executado (kg) =</t>
  </si>
  <si>
    <t>Total de área de alvenaria de vedação à aditar (m²) =</t>
  </si>
  <si>
    <t>18.0</t>
  </si>
  <si>
    <t>Cobertura</t>
  </si>
  <si>
    <t>Casarão</t>
  </si>
  <si>
    <t>12.2</t>
  </si>
  <si>
    <t>Wc vereadores</t>
  </si>
  <si>
    <t>Total de revestimento cerâmico de piso de contrato (m²) =</t>
  </si>
  <si>
    <t>Total de revestimento cerâmico para piso executado (m²) =</t>
  </si>
  <si>
    <t>9.1.3</t>
  </si>
  <si>
    <t>Total de  revestimento cerâmico para paredes de contrato (m²)=</t>
  </si>
  <si>
    <t>Total de  revestimento cerâmico medido até o BM 15 (m²)=</t>
  </si>
  <si>
    <t>Total de  revestimento cerâmico a medir no BM 16 (m²)=</t>
  </si>
  <si>
    <t>Total de revestimento cerâmico para paredes executado (m²)=</t>
  </si>
  <si>
    <t>Total de área de emboço ou massa única executado (m²) =</t>
  </si>
  <si>
    <t>Total de área emboço ou massa única de contrato (m²) =</t>
  </si>
  <si>
    <t>18.3</t>
  </si>
  <si>
    <t>18.3.3</t>
  </si>
  <si>
    <t>Total de disjuntor tripolar 20A executado (und)=</t>
  </si>
  <si>
    <t>Total de disjuntor tripolar 20A medido até o BM 15 (und)=</t>
  </si>
  <si>
    <t>Total de disjuntor tripolar a medir no BM 16 (und)=</t>
  </si>
  <si>
    <t>Total de disjuntor tripolar 20A de contrato (und)=</t>
  </si>
  <si>
    <t>18.3.15</t>
  </si>
  <si>
    <t>Total de disjuntor bipolar 25A executado (und)=</t>
  </si>
  <si>
    <t>Total de disjuntor bipolar 25A de contrato (und)=</t>
  </si>
  <si>
    <t>Total de disjuntor bipolar 25A medido até o BM 15 (und)=</t>
  </si>
  <si>
    <t>Total de disjuntor bipolar a medir no BM 16 (und)=</t>
  </si>
  <si>
    <t>Total de disjuntor bipolar a aditar (und)=</t>
  </si>
  <si>
    <t>Total de disjuntor monopolar 10A executado (und)=</t>
  </si>
  <si>
    <t>Total de disjuntor mopolar 10A de contrato (und)=</t>
  </si>
  <si>
    <t>Total de disjuntor monopolar 10A medido até o BM 15 (und)=</t>
  </si>
  <si>
    <t>Total de disjuntor monopolar de 10A a medir no BM 16 (und)=</t>
  </si>
  <si>
    <t>Total de disjuntor monopolar 16A executado (und)=</t>
  </si>
  <si>
    <t>Total de disjuntor mopolar 16A de contrato (und)=</t>
  </si>
  <si>
    <t>Total de disjuntor monopolar 16A medido até o BM 15 (und)=</t>
  </si>
  <si>
    <t>Total de disjuntor monopolar de 16A a medir no BM 16 (und)=</t>
  </si>
  <si>
    <t>18.2</t>
  </si>
  <si>
    <t>18.2.2</t>
  </si>
  <si>
    <t>Total de quadro de distribuição de energia para 12 disjuntores executado (und)=</t>
  </si>
  <si>
    <t>Total de quadro de distribuição de energia para 12 disjuntores de contrato (und)=</t>
  </si>
  <si>
    <t>Total de quadro de distribuição de energia para 12 disjuntores medido até o BM 15 (und)=</t>
  </si>
  <si>
    <t>Total de quadro de distribuição de energia para 12 disjuntores a medir no BM 16 (und)=</t>
  </si>
  <si>
    <t>18.8</t>
  </si>
  <si>
    <t>18.8.3</t>
  </si>
  <si>
    <t>Total de eletrocalha perfurada tipo "U" 100x50 executado (m)=</t>
  </si>
  <si>
    <t>Total de eletrocalha perfurada tipo "U" 100x50 de contrato (m)=</t>
  </si>
  <si>
    <t>Total de eletrocalha perfurada tipo "U" 100x50 até o BM 15 (m)=</t>
  </si>
  <si>
    <t>Total de eletrocalha perfurada tipo "U" 100x50 a medir no BM 16 (m)=</t>
  </si>
  <si>
    <t>Total de eletrocalha perfurada tipo "U" 100x50 a aditar (m)=</t>
  </si>
  <si>
    <t>4.0</t>
  </si>
  <si>
    <t>4.3</t>
  </si>
  <si>
    <t>4.3.2</t>
  </si>
  <si>
    <t>4º Pavimento</t>
  </si>
  <si>
    <t>11.1</t>
  </si>
  <si>
    <t>Total de impermeabilização de superfície com manta asfáltica executado (m²)=</t>
  </si>
  <si>
    <t>Total de impermeabilização com manta asfáltica de contrato (m²)=</t>
  </si>
  <si>
    <t>19.0</t>
  </si>
  <si>
    <t>19.4</t>
  </si>
  <si>
    <t>ELEVADOR ELÉTRICO SOCIAL PARA 08 PASSAGEIROS OU 600kg, COM  07 PARADAS, PAINEIS E TETO EM AÇO ESCOVADO, CORRIMÃO TUBULAR, PORTAS AÇO INOX, CABIA 1,20- FRENTE x 1,40-FUNDO x ALTURA 2,2m INOXIDAVEL, ATLAS SCHINDLER 3300, MODELO MEDITERRANEE OU SIMILAR</t>
  </si>
  <si>
    <t>Total de elevador elétrico social para 08 passageiros executado (und) =</t>
  </si>
  <si>
    <t>Total de elevador elétrico social para 08 passageiros de contrato (und) =</t>
  </si>
  <si>
    <t>Total de elevador elétrico social para 08 passageiros medido até o BM 16 (und) =</t>
  </si>
  <si>
    <t>Total de elevador elétrico social para 08 passageiros a medir no BM 17 (und) =</t>
  </si>
  <si>
    <t>11.6</t>
  </si>
  <si>
    <t>Mesanino</t>
  </si>
  <si>
    <t>1º pavimento</t>
  </si>
  <si>
    <t>24.4</t>
  </si>
  <si>
    <t>Total de grauteamento de cinta intermediária de contrato (m³)=</t>
  </si>
  <si>
    <t>Total de grauteamento de cinta intermediária executado (m³)=</t>
  </si>
  <si>
    <t>24.4.7</t>
  </si>
  <si>
    <t>24.4.8</t>
  </si>
  <si>
    <t>RESTAURO - EXECUÇÃO DE ORNATO COM CONFECÇÃO DE MOLDE E FÔRMA - 02 USOS</t>
  </si>
  <si>
    <t>24.4.10</t>
  </si>
  <si>
    <t>Total de restauro - execução de ornato executado (m³)=</t>
  </si>
  <si>
    <t>Total de restauro - execução de ornato de contrato (m³)=</t>
  </si>
  <si>
    <t>Peso total de fornecimento e montagem de estrutura metálica medido até o BM 18 (kg)=</t>
  </si>
  <si>
    <t>Peso total de fornecimento e montagem de estrutura metálica a medir no BM 19 (kg)=</t>
  </si>
  <si>
    <t>Área de reboco (m²)</t>
  </si>
  <si>
    <t>Casarão (Subsolo)</t>
  </si>
  <si>
    <t>Casarão (Térreo)</t>
  </si>
  <si>
    <t>Térreo (Setor 01)</t>
  </si>
  <si>
    <t>Térreo (Setor 02)</t>
  </si>
  <si>
    <t>Mesanino (Setor 01)</t>
  </si>
  <si>
    <t>Mesanino (Setor 02)</t>
  </si>
  <si>
    <t>1º pavimento (Setor 01 e 02)</t>
  </si>
  <si>
    <t>2º pavimento (Setor 01 e 02)</t>
  </si>
  <si>
    <t>3º pavimento (Setor 01)</t>
  </si>
  <si>
    <t>Total de chapisco aplicado em alvenaria executado (m²)=</t>
  </si>
  <si>
    <t>Total de chapisco aplicado em alvenaria de contrato (m²)=</t>
  </si>
  <si>
    <t>Total de chapisco aplicado medido até o BM 13 (m²)=</t>
  </si>
  <si>
    <t>Total de de chapisco aplicado a medir no BM 14 (m²)=</t>
  </si>
  <si>
    <t>Total de de chapisco aplicado a aditar (m²)=</t>
  </si>
  <si>
    <t>Área - C x H (m²)</t>
  </si>
  <si>
    <t>Acessoria 01</t>
  </si>
  <si>
    <t>Acessoria 02</t>
  </si>
  <si>
    <t>Acessoria 03</t>
  </si>
  <si>
    <t>Sala Presidência</t>
  </si>
  <si>
    <t>Poço do elevador</t>
  </si>
  <si>
    <t>Parede de contenção</t>
  </si>
  <si>
    <t>Estacionamento</t>
  </si>
  <si>
    <t>Hall + Espaço Imprensa</t>
  </si>
  <si>
    <t>Sala 02</t>
  </si>
  <si>
    <t>Parede do jardim no hall</t>
  </si>
  <si>
    <t>Área de Gravação</t>
  </si>
  <si>
    <t>1º pavimento (Setor 01)</t>
  </si>
  <si>
    <t>1º pavimento (Setor 02)</t>
  </si>
  <si>
    <t>Ante-câmera</t>
  </si>
  <si>
    <t>sempre revisar</t>
  </si>
  <si>
    <t>Secret./acessor/ver.</t>
  </si>
  <si>
    <t>2º pavimento (Setor 01)</t>
  </si>
  <si>
    <t>2º pavimento (Setor 02)</t>
  </si>
  <si>
    <t>3º pavimento (Setor 02)</t>
  </si>
  <si>
    <t>4º pavimento (Setor 01)</t>
  </si>
  <si>
    <t>Total de massa única executado (m²)=</t>
  </si>
  <si>
    <t>Total de massa única de contrato (m²)=</t>
  </si>
  <si>
    <t>Total de de massa única medido até o BM 13 (m²)=</t>
  </si>
  <si>
    <t>Total de de massa única a medir no BM 14 (m²)=</t>
  </si>
  <si>
    <t>Total de de massa única a aditar (m²)=</t>
  </si>
  <si>
    <t>Área de desc. (m²)</t>
  </si>
  <si>
    <t>Vestiário feminino</t>
  </si>
  <si>
    <t>Vestiário masculino</t>
  </si>
  <si>
    <t>Wc da sala interna</t>
  </si>
  <si>
    <t>2º pavimento</t>
  </si>
  <si>
    <t>3º pavimento</t>
  </si>
  <si>
    <t>Nível 0,0 a +1,30m</t>
  </si>
  <si>
    <t>Parede da área técnica térreo</t>
  </si>
  <si>
    <t>Nível +1,30m a +4,50m</t>
  </si>
  <si>
    <t>Parede da área técnica mesanino</t>
  </si>
  <si>
    <t>Nível +4,50m a +8,40m</t>
  </si>
  <si>
    <t>Parede da área técnica do 1º pavimento</t>
  </si>
  <si>
    <t>Nível +8,40m a +11,60m</t>
  </si>
  <si>
    <t>Jardineira da coberta do casarão</t>
  </si>
  <si>
    <t>20.0</t>
  </si>
  <si>
    <t>20.1</t>
  </si>
  <si>
    <t>Total (m)</t>
  </si>
  <si>
    <t>Total de tubulação de aço galvanizado executado (m)=</t>
  </si>
  <si>
    <t>20.2</t>
  </si>
  <si>
    <t>Total de tubulação de aço galvanizado medido até o BM 18 (m)=</t>
  </si>
  <si>
    <t>Total de tubulação de aço galvanizado a medir no BM 19 (m)=</t>
  </si>
  <si>
    <t>20.3</t>
  </si>
  <si>
    <t>20.4</t>
  </si>
  <si>
    <t>Total de abrigo para hidrantes executado (und)=</t>
  </si>
  <si>
    <t>Total de abrigo para hidrantes medido até o BM 18 (und)=</t>
  </si>
  <si>
    <t>Total de abrigo para hidrantes a medir no BM 19 (und)=</t>
  </si>
  <si>
    <t>Total de tê, em ferro galvanizado executado (und)=</t>
  </si>
  <si>
    <t>Total de tê, em ferro galvanizado medido até o BM 18 (und)=</t>
  </si>
  <si>
    <t>Total de tê, em ferro galvanizado a medir no BM 19 (und)=</t>
  </si>
  <si>
    <t>Total de joelho 90º, em ferro galvanizado executado (und)=</t>
  </si>
  <si>
    <t>Total de joelho 90º, em ferro galvanizado medido até o BM 18 (und)=</t>
  </si>
  <si>
    <t>Total de joelho 90º, em ferro galvanizado a medir no BM 19 (und)=</t>
  </si>
  <si>
    <t>13.0</t>
  </si>
  <si>
    <t>13.1</t>
  </si>
  <si>
    <t>Total de área de forro de contrato (m²) =</t>
  </si>
  <si>
    <t>15.0</t>
  </si>
  <si>
    <t>15.1</t>
  </si>
  <si>
    <t>Total de cortina de vidro de contrato (m²)=</t>
  </si>
  <si>
    <t>8.0</t>
  </si>
  <si>
    <t>8.1</t>
  </si>
  <si>
    <t>8.1.1</t>
  </si>
  <si>
    <t>Total de tubo em cobre flexivel, DN 1/4" executado (m)=</t>
  </si>
  <si>
    <t>Total de  tubo em cobre flexivel, DN 1/4" de contrato (m)=</t>
  </si>
  <si>
    <t>Total de  tubo em cobre flexivel, DN 1/4" a medir no BM 20 (m)=</t>
  </si>
  <si>
    <t>8.1.2</t>
  </si>
  <si>
    <t>Total de tubo em cobre flexivel, DN 1/2" executado (m)=</t>
  </si>
  <si>
    <t>Total de  tubo em cobre flexivel, DN 1/2" de contrato (m)=</t>
  </si>
  <si>
    <t>Total de  tubo em cobre flexivel, DN 1/2" a medir no BM 20 (m)=</t>
  </si>
  <si>
    <t>8.1.3</t>
  </si>
  <si>
    <t>Total de  tubo em cobre flexivel, DN 3/8" de contrato (m)=</t>
  </si>
  <si>
    <t>8.1.5</t>
  </si>
  <si>
    <t>Total de  tubo em cobre flexivel, DN 5/8" de contrato (m)=</t>
  </si>
  <si>
    <t>Total de  tubo em cobre flexivel, DN 3/8" medido até o BM 19 (m)=</t>
  </si>
  <si>
    <t>Total de tubo em cobre flexivel, DN 3/8" executado (m)=</t>
  </si>
  <si>
    <t>Total de tubo em cobre flexivel, DN 5/8" executado (m)=</t>
  </si>
  <si>
    <t>Total de  tubo em cobre flexivel, DN 5/8" a medir no BM 20 (m)=</t>
  </si>
  <si>
    <t>8.1.8</t>
  </si>
  <si>
    <t>Total de  tubo em cobre flexivel, DN 5/8" medido até o BM 19 (m)=</t>
  </si>
  <si>
    <t>Total de  tubo em cobre flexivel, DN 1/4" medido até o BM 19 (m)=</t>
  </si>
  <si>
    <t>Total de  tubo em cobre flexivel, DN 1/2" medido  até o BM 19 (m)=</t>
  </si>
  <si>
    <t>Total de tubo em cobre flexivel, DN 7/8" executado (l)=</t>
  </si>
  <si>
    <t>Total de  tubo em cobre flexivel, DN 7/8" de contrato (l)=</t>
  </si>
  <si>
    <t>Total de  tubo em cobre flexivel, DN 7/8" medido até o BM 19 (l)=</t>
  </si>
  <si>
    <t>Total de  tubo em cobre flexivel, DN 7/8" a medir no BM 20 (l)=</t>
  </si>
  <si>
    <t>Volume (m³)</t>
  </si>
  <si>
    <t>24.1</t>
  </si>
  <si>
    <t>Total de grauteamento de cinta intermediária medido até o BM 19 (m³)=</t>
  </si>
  <si>
    <t>Total de grauteamento de cinta intermediária a medir no BM 20 (m³)=</t>
  </si>
  <si>
    <t>Largura (m)</t>
  </si>
  <si>
    <t>Total de escarificação de superficie executado (m²)=</t>
  </si>
  <si>
    <t>Total de escarificação de superficie de contrato (m³)=</t>
  </si>
  <si>
    <t>Total de escarificação de superficie medido até o BM 19 (m³)=</t>
  </si>
  <si>
    <t>Total de escarificação de superficie a medir no BM 20 (m³)=</t>
  </si>
  <si>
    <t>Total de restauro - execução de ornatos a aditar (m²)=</t>
  </si>
  <si>
    <t>Total de restauro - execução de ornato medido até o BM 19 (m³)=</t>
  </si>
  <si>
    <t>24.4.1</t>
  </si>
  <si>
    <t>Total de limpeza de superfície executado (m²)=</t>
  </si>
  <si>
    <t>Total de limpeza de superfície de contrato (m²)=</t>
  </si>
  <si>
    <t>Total de limpeza de superfície medido até o BM 19 (m²)=</t>
  </si>
  <si>
    <t>Total de limpeza de superfície a medir no BM 20 (m²)=</t>
  </si>
  <si>
    <t>23.0</t>
  </si>
  <si>
    <t>23.1</t>
  </si>
  <si>
    <t>Total de cortina de vidro medido até o BM 19 (m²)=</t>
  </si>
  <si>
    <t>Total de cortina de vidro a medir no BM 20 (m²)=</t>
  </si>
  <si>
    <t>Total de eletrocalha perfurada tipo U executada (m)=</t>
  </si>
  <si>
    <t>Total de eletrocalha perfurada tipo U de contrato (m)=</t>
  </si>
  <si>
    <t>Total de forro medido até o BM 19 (m²)=</t>
  </si>
  <si>
    <t>Total de forro a medir no BM 20 (m²)=</t>
  </si>
  <si>
    <t>Térreo</t>
  </si>
  <si>
    <t>Wc fem. E masc.</t>
  </si>
  <si>
    <t>Pavimento Tipo 01 e 02</t>
  </si>
  <si>
    <t xml:space="preserve">Wc feminino </t>
  </si>
  <si>
    <t>Wc deficiente</t>
  </si>
  <si>
    <t>Aessoria 1, 2 e 3</t>
  </si>
  <si>
    <t>Presidencia</t>
  </si>
  <si>
    <t>Térreo (setor 1)</t>
  </si>
  <si>
    <t>Térreo (setor 2)</t>
  </si>
  <si>
    <t>Mezanino (setor 1)</t>
  </si>
  <si>
    <t>Estudio</t>
  </si>
  <si>
    <t>Sala de gravação</t>
  </si>
  <si>
    <t>Hall + Área de gravação</t>
  </si>
  <si>
    <t>Comissão</t>
  </si>
  <si>
    <t>Administrativo</t>
  </si>
  <si>
    <t>Hall dos wcs</t>
  </si>
  <si>
    <t>Sala</t>
  </si>
  <si>
    <t>Anti-câmara + hall da escada</t>
  </si>
  <si>
    <t>Anti-sala</t>
  </si>
  <si>
    <t>Secretaria</t>
  </si>
  <si>
    <t>Sala de acessor</t>
  </si>
  <si>
    <t>Sala de vereador</t>
  </si>
  <si>
    <t>10.0</t>
  </si>
  <si>
    <t>10.1</t>
  </si>
  <si>
    <t>2° Pavimento</t>
  </si>
  <si>
    <t>3° Pavimento</t>
  </si>
  <si>
    <t>4° Pavimento</t>
  </si>
  <si>
    <t>10.1.1</t>
  </si>
  <si>
    <t>Total de fundo selador acrílico executado (m²)=</t>
  </si>
  <si>
    <t>Total de fundo selador acrílico de contrato (m²)=</t>
  </si>
  <si>
    <t>10.1.2</t>
  </si>
  <si>
    <t>Total de aplicação manual de massa acrílica executado (m²)=</t>
  </si>
  <si>
    <t>Total de aplicação manual de massa acrílica de contrato (m²)=</t>
  </si>
  <si>
    <t>Nível +11,60m a +14,80m</t>
  </si>
  <si>
    <t>Total de área de chapisco aplicado até o BM 19 (m²) =</t>
  </si>
  <si>
    <t>Total de área de chapisco aplicado à medir no BM 20 (m²) =</t>
  </si>
  <si>
    <t>Total de armação de laje medido até o BM 19 (kg) =</t>
  </si>
  <si>
    <t>Total de armação de laje a medir no BM 20 (kg) =</t>
  </si>
  <si>
    <t>Total de armação de laje a aditar (kg) =</t>
  </si>
  <si>
    <t>Total de armação de laje aço CA-50 6,3mm executado (kg) =</t>
  </si>
  <si>
    <t>Total de armação de laje medido no BM 19 (kg) =</t>
  </si>
  <si>
    <t>7.0</t>
  </si>
  <si>
    <t>7.1</t>
  </si>
  <si>
    <t>Total de tratamento de junta de dilatação executado (m)=</t>
  </si>
  <si>
    <t>Total de tratamento de junta de dilatação a medir no BM 20 (m)=</t>
  </si>
  <si>
    <t>Total de tratamento de junta de dilatação medido até o BM 19 (m)=</t>
  </si>
  <si>
    <t>Total de tratamento de junta de dilatação de contrato (m)=</t>
  </si>
  <si>
    <t>Total de impermezabilização de junta de dilatação executado (m²)=</t>
  </si>
  <si>
    <t>Total de  impermezabilização de junta de dilatação de contrato (m²)=</t>
  </si>
  <si>
    <t>Total de impermezabilização de junta de dilatação medido até o BM 19 (m²)=</t>
  </si>
  <si>
    <t>Total de  impermezabilização de junta de dilatação a medir no BM 20 (m²)=</t>
  </si>
  <si>
    <t>8.2</t>
  </si>
  <si>
    <t>8.2.3</t>
  </si>
  <si>
    <t>Total de cabo shield blindado executado (m)=</t>
  </si>
  <si>
    <t>Total de  cabo shield blindado de contrato (m)=</t>
  </si>
  <si>
    <t>Total de cabo shield blindado medido até o BM 19 (m)=</t>
  </si>
  <si>
    <t>Total de  cabo shield blindado a medir no BM 20 (m)=</t>
  </si>
  <si>
    <t>9.3</t>
  </si>
  <si>
    <t>9.3.1</t>
  </si>
  <si>
    <t>Total de painel de lã de vidro executado (m²) =</t>
  </si>
  <si>
    <t>Total de painel de lã de vidro de contrato (m²) =</t>
  </si>
  <si>
    <t>11.0</t>
  </si>
  <si>
    <t>12.1</t>
  </si>
  <si>
    <t>Total de piso vinilico semi-flexível executado (m²) =</t>
  </si>
  <si>
    <t>Total de piso vinilico semi-flexível de contrato (m²) =</t>
  </si>
  <si>
    <t>Total de revestimento cerâmico para piso de contrato (m²) =</t>
  </si>
  <si>
    <t>Total de revestimento cerâmico para piso até o BM 19 (m²) =</t>
  </si>
  <si>
    <t>Total de área de revestimento cerâmico para piso à medir no BM 20 (m²) =</t>
  </si>
  <si>
    <t>12.3</t>
  </si>
  <si>
    <t>Total de piso em granito aplicado em calçadas executado (m²) =</t>
  </si>
  <si>
    <t>Total de piso em granito aplicado em calçadas de contrato (m²) =</t>
  </si>
  <si>
    <t>Total de piso em granito aplicado em calçadas até o BM 19 (m²) =</t>
  </si>
  <si>
    <t>Total de área piso em granito aplicado em calçadas à medir no BM 20 (m²) =</t>
  </si>
  <si>
    <t>12.7</t>
  </si>
  <si>
    <t>Total de piso em granito aplicado em ambientes internos executado (m²) =</t>
  </si>
  <si>
    <t>Total de piso em granito aplicado em ambientes internos de contrato (m²) =</t>
  </si>
  <si>
    <t>Total de piso em granito aplicado em ambientes internos até o BM 19 (m²) =</t>
  </si>
  <si>
    <t>Total de área piso em granito aplicado em ambientes internos à medir no BM 20 (m²) =</t>
  </si>
  <si>
    <t>16.0</t>
  </si>
  <si>
    <t>18.1.5</t>
  </si>
  <si>
    <t>Total de ponto elétrico de tomada para chuveiro executado (und) =</t>
  </si>
  <si>
    <t>Total de  ponto elétrico de tomada para chuveiro de contrato (und) =</t>
  </si>
  <si>
    <t>Total de ponto elétrico de tomada de para chuveiro  medido  até o BM 19 (und) =</t>
  </si>
  <si>
    <t>Total de  ponto elétrico de tomada de para chuveiro  à medir no BM 20 (und) =</t>
  </si>
  <si>
    <t>ELEVADOR ELÉTRICO SOCIAL PARA 08 PASSAGEIROS OU 600kg, COM 07 PARADAS, PAINEIS E TETO EM AÇO ESCOVADO, CORRIMÃO TUBULAR, PORTAAS AÇO INOX, CABINA 1,20-frente x 1,40-fundo x altura 2,2m INOXIDAVEL, ATLAS SCHINDLESR 3300, MODELO MEDITERRANÉE OU SIMILAR</t>
  </si>
  <si>
    <t>Total de elevador elétrico social executado (und)=</t>
  </si>
  <si>
    <t>Total de elevador elétrico social a medir no BM 20 (und)=</t>
  </si>
  <si>
    <t>Total de elevador elétrico social medido até o BM 19 (und)=</t>
  </si>
  <si>
    <t>Total de elevador elétrico social contrato (und)=</t>
  </si>
  <si>
    <t>23.1.3</t>
  </si>
  <si>
    <t>Total de cabo de fibra optica executada (m)=</t>
  </si>
  <si>
    <t>Total de cabo de fibra optica de contrato (m)=</t>
  </si>
  <si>
    <t>Total de cabo de fibra optica medido até o BM 19 (m)=</t>
  </si>
  <si>
    <t>Total de cabo de fibra optica a medir no BM 20 (m)=</t>
  </si>
  <si>
    <t>7.3</t>
  </si>
  <si>
    <t>Área para painel de lã de vidro sem revestimento (m²) =</t>
  </si>
  <si>
    <t>Total de painel de lã de vidro sem revestimento executado (m²)=</t>
  </si>
  <si>
    <t>Total de painel de lã de vidro sem revestimento de contrato (m²)=</t>
  </si>
  <si>
    <t>Subsolo</t>
  </si>
  <si>
    <t>Total de piso vinílico semi-flexivel executado (m²) =</t>
  </si>
  <si>
    <t>Total de piso vinílico semi-flexivel de contrato (m²) =</t>
  </si>
  <si>
    <t>Vestiário fem. E masc.</t>
  </si>
  <si>
    <t>Wc Presidência</t>
  </si>
  <si>
    <t>Área Total</t>
  </si>
  <si>
    <t>Hall externo de entrada e circulação externa</t>
  </si>
  <si>
    <t>12.5</t>
  </si>
  <si>
    <t>Calçada externa e de contorno</t>
  </si>
  <si>
    <t>12.6</t>
  </si>
  <si>
    <t>Shafts</t>
  </si>
  <si>
    <t>Depósitos subsolo</t>
  </si>
  <si>
    <t>Área técnicas (térreo, mesanino e 1º pav.)</t>
  </si>
  <si>
    <t>Anti-câmera</t>
  </si>
  <si>
    <t>Escadas (pavimento tipo)</t>
  </si>
  <si>
    <t>Escadas (subsolo ao mesanino)</t>
  </si>
  <si>
    <t>Escada (subsolo ao térreo)</t>
  </si>
  <si>
    <t>Total de piso cimentado a executar/executado (m²) =</t>
  </si>
  <si>
    <t>Total de piso cimentado de contrato (m²) =</t>
  </si>
  <si>
    <t>Total de piso cimentado a aditar (m²) =</t>
  </si>
  <si>
    <t>Total</t>
  </si>
  <si>
    <t>Circulação do wcs 01</t>
  </si>
  <si>
    <t>Área de segurança</t>
  </si>
  <si>
    <t>Café</t>
  </si>
  <si>
    <t>Rampa</t>
  </si>
  <si>
    <t>Total de piso em granito de contrato (m²) =</t>
  </si>
  <si>
    <t>Total de revestimento cerâmico de piso medido até o BM 19 (m²) =</t>
  </si>
  <si>
    <t>Total de revestimento cerâmico de piso medido até o BM 20 (m²) =</t>
  </si>
  <si>
    <t>Total de piso em granito aplicado em calçadas comprado (m²) =</t>
  </si>
  <si>
    <t>Total de piso em granito aplicado em calçadas medido até o BM 19 (m²) =</t>
  </si>
  <si>
    <t>Total de piso em granito aplicado em calçadas a medir no BM 20 (m²) =</t>
  </si>
  <si>
    <t>Total de piso em granito comprado (m²) =</t>
  </si>
  <si>
    <t>Total de piso em granito medido até o BM 19 (m²) =</t>
  </si>
  <si>
    <t>Total de piso em granito a medir no BM 20 (m²) =</t>
  </si>
  <si>
    <t>Total (und)</t>
  </si>
  <si>
    <t>Total de  revestimento cerâmico medido até o BM 19 (m²)=</t>
  </si>
  <si>
    <t>Total de  revestimento cerâmico a medir no BM 20 (m²)=</t>
  </si>
  <si>
    <t>Wc masculino 01</t>
  </si>
  <si>
    <t>Wc feminino 01</t>
  </si>
  <si>
    <t>Wc masculino 02</t>
  </si>
  <si>
    <t>Wc feminino 02</t>
  </si>
  <si>
    <t>4º pavimento</t>
  </si>
  <si>
    <t>Quantidade (m)</t>
  </si>
  <si>
    <t>Casarão (subsolo)</t>
  </si>
  <si>
    <t>Quadro 20</t>
  </si>
  <si>
    <t>Quadro 25</t>
  </si>
  <si>
    <t>Quadro 30</t>
  </si>
  <si>
    <t>Quadro 35</t>
  </si>
  <si>
    <t>18.3.19</t>
  </si>
  <si>
    <t>Comprimento de cabo de fibra optica de projeto (m) =</t>
  </si>
  <si>
    <t xml:space="preserve">                             </t>
  </si>
  <si>
    <t>MEDIÇÃO 21</t>
  </si>
  <si>
    <t>PERÍODO DA MEDIÇÃO: 01/08/2025 À 31/08/2025</t>
  </si>
  <si>
    <t>MEMORIAL DE CÁLCULO DO BM 21</t>
  </si>
  <si>
    <t>INFRA-ESTRUTURA</t>
  </si>
  <si>
    <t>4.3.1</t>
  </si>
  <si>
    <t>Total (m³)</t>
  </si>
  <si>
    <t xml:space="preserve">Volume de escavação de blocos + baldrames + cintas + poços de elevadores </t>
  </si>
  <si>
    <t>Volume de concreto de blocos + baldrames + cintas + poço de elevador</t>
  </si>
  <si>
    <t>Volume de aterro na área interna entre casarão 01 e Anexo da Presidência</t>
  </si>
  <si>
    <t>Volume de aterro na rampa principal de acesso a recepção</t>
  </si>
  <si>
    <t>Volume de aterro na jardineira do casarão</t>
  </si>
  <si>
    <t>Total de reaterro de valas executado (m³) =</t>
  </si>
  <si>
    <t>Total de reaterro de valas de contrato (m³) =</t>
  </si>
  <si>
    <t>Total de reaterro de valas medido até o BM 20 (m³) =</t>
  </si>
  <si>
    <t>Total de reaterro de valas a medir no BM 21 (m³) =</t>
  </si>
  <si>
    <t>CI1</t>
  </si>
  <si>
    <t>CI2</t>
  </si>
  <si>
    <t>CI3</t>
  </si>
  <si>
    <t>CS1</t>
  </si>
  <si>
    <t>Fundação de paredes para a L5 e L6</t>
  </si>
  <si>
    <t>Fundação da parede do wc da Presidência</t>
  </si>
  <si>
    <t>Total de pedra argamassada executado (m³) =</t>
  </si>
  <si>
    <t>Total de pedra argamassada de contrato (m³) =</t>
  </si>
  <si>
    <t>Total de pedra argamassada medido até o BM 20 (m³) =</t>
  </si>
  <si>
    <t>Total de pedra argamassada a medir no BM 21 (m³) =</t>
  </si>
  <si>
    <t>4.3.2.2</t>
  </si>
  <si>
    <t>Blocos 1,45/0,70/0,70</t>
  </si>
  <si>
    <t>Blocos 1,80/0,80/0,70</t>
  </si>
  <si>
    <t>Blocos 0,70/0,70/0,70</t>
  </si>
  <si>
    <t>Blocos 1,90/1,64/0,80</t>
  </si>
  <si>
    <t>Blocos 1,80/1,80/1,00</t>
  </si>
  <si>
    <t>Blocos 1,80/2,53/1,20</t>
  </si>
  <si>
    <t>Blocos 2,80/1,80/1,25</t>
  </si>
  <si>
    <t>Poços de elevadores</t>
  </si>
  <si>
    <t>BS1 (prancha 8)</t>
  </si>
  <si>
    <t>BA1 (prancha 8)</t>
  </si>
  <si>
    <t>BA2 (prancha 8, 18)</t>
  </si>
  <si>
    <t>Total de escavação manual de blocos executado (m³) =</t>
  </si>
  <si>
    <t>Total de escavação manual de blocos de contrato (m³) =</t>
  </si>
  <si>
    <t>Total de escavação manual de blocos medido até o BM 20 (m³) =</t>
  </si>
  <si>
    <t>Total de escavação manual de blocos a medir no BM 21 (m³) =</t>
  </si>
  <si>
    <t>4.3.2.3</t>
  </si>
  <si>
    <t>Área de forma de blocos de coramento</t>
  </si>
  <si>
    <t>Área de forma de blocos BS1 (1 und)</t>
  </si>
  <si>
    <t>Área de forma de blocos BA1 (2 und)</t>
  </si>
  <si>
    <t>Área de forma de blocos BA2 (12 und)</t>
  </si>
  <si>
    <t>Área de formas das vigas de coroamento (Prancha 20)</t>
  </si>
  <si>
    <t>Área de formas das vigas baldrames (Prancha 11 a 15)</t>
  </si>
  <si>
    <t>Total de fabricação de forma de blocos executado (m²) =</t>
  </si>
  <si>
    <t>Total de fabricação de forma de blocos de contrato (m²) =</t>
  </si>
  <si>
    <t>Total de fabricação de forma de blocos medido até o BM 20 (m²) =</t>
  </si>
  <si>
    <t>Total de fabricação de forma de blocos a medir no BM 21 (m²) =</t>
  </si>
  <si>
    <t>4.3.2.4</t>
  </si>
  <si>
    <t>Vigas baldrames (V2, V3, V5, V8, V10, V11, V21, V24, V27, V28, V29, V30, V31, V33, V34, V35, V36, V37, V40, V42, V43, V46, V50)</t>
  </si>
  <si>
    <t>Vigas baldrames (V1, V26, V49, V54, V58, V60, V63)</t>
  </si>
  <si>
    <t>Vigas baldrames (V4, V14, V19, V23, V38, V51, V52)</t>
  </si>
  <si>
    <t>Vigas baldrames (V9, V15, V16, V44, V66)</t>
  </si>
  <si>
    <t>Vigas baldrames (V18)</t>
  </si>
  <si>
    <t>Vigas baldrames (V25)</t>
  </si>
  <si>
    <t>Vigas baldrames (V32, V39)</t>
  </si>
  <si>
    <t>Vigas baldrames (V41)</t>
  </si>
  <si>
    <t>Vigas baldrames (V55)</t>
  </si>
  <si>
    <t>Vigas baldrames (V57, V59, V61, V62)</t>
  </si>
  <si>
    <t>Vigas baldrames (V64, V65)</t>
  </si>
  <si>
    <t>Fundação de alvenaria em pedra argamassada</t>
  </si>
  <si>
    <t>Calhas do subsolo</t>
  </si>
  <si>
    <t>Total de escavação manual de vala executado (m³) =</t>
  </si>
  <si>
    <t>Total de escavação manual de blocos a aditar (m³) =</t>
  </si>
  <si>
    <t>4.3.2.10</t>
  </si>
  <si>
    <t>Fundo dos elevadores</t>
  </si>
  <si>
    <t>BA1</t>
  </si>
  <si>
    <t>BA2</t>
  </si>
  <si>
    <t>BS1</t>
  </si>
  <si>
    <t>Piso interno do casarão</t>
  </si>
  <si>
    <t>Total de concreto magro para lastro executado (m³) =</t>
  </si>
  <si>
    <t>Total de  concreto magro para lastro de contrato (m³) =</t>
  </si>
  <si>
    <t>Total de concreto magro para lastro medido até o BM 20 (m³) =</t>
  </si>
  <si>
    <t>Total de concreto magro para lastro a medir no BM 21 (m³) =</t>
  </si>
  <si>
    <t>4.3.2.15</t>
  </si>
  <si>
    <t>Blocos de coroamento</t>
  </si>
  <si>
    <t>Vigas baldrames nível -1,70m</t>
  </si>
  <si>
    <t>Cintas nível C11 -1,70m</t>
  </si>
  <si>
    <t>Pilares</t>
  </si>
  <si>
    <t>Laje dos elevadores</t>
  </si>
  <si>
    <t>Cinta CI2</t>
  </si>
  <si>
    <t>Total de concretagem 35 MPa executado (m³) =</t>
  </si>
  <si>
    <t>Total de  concretagem 35MPa de contrato (m³) =</t>
  </si>
  <si>
    <t>Total de concretagem 35 Mpa medido até o BM 20 (m³) =</t>
  </si>
  <si>
    <t>Total de concretagem 35 MPa a medir no BM 21 (m³) =</t>
  </si>
  <si>
    <t xml:space="preserve">PEDRA ARGAMASSADA COM CIMENTO E AREIA 1:3, 40% DE ARGAMASSA EM VOLUME  - AREIA E PEDRA DE MÃO COMERCIAIS - FORNECIMENTO E ASSENTAMENTO. </t>
  </si>
  <si>
    <t>Total de escavação manual de blocos a medido até o BM 20 (m³) =</t>
  </si>
  <si>
    <t>Total de armação de bloco, viga baldrame a medir no BM 21 (m³) =</t>
  </si>
  <si>
    <t>Total de armação de bloco, viga baldrame a aditar (m³) =</t>
  </si>
  <si>
    <t>Total de aministração de obra a medir no BM 21 (und) =</t>
  </si>
  <si>
    <t>Total de aministração de obra medido até o BM 20 (und) =</t>
  </si>
  <si>
    <t>6.2</t>
  </si>
  <si>
    <t>Total de parede com placas de gesso acartonado executado (m²) =</t>
  </si>
  <si>
    <t>Total de parede com placas de gesso acartonado de contrato (m²) =</t>
  </si>
  <si>
    <t>Total de parede com placas de gesso acartonado medido até o BM 20 (m²) =</t>
  </si>
  <si>
    <t>Total de parede com placas de gesso acartonado à medir no BM 21 (m²) =</t>
  </si>
  <si>
    <t>Total de área de alvenaria de vedação medido até o BM 20 (m²) =</t>
  </si>
  <si>
    <t>Total de área de alvenaria de vedação à medir no BM 21 (m²) =</t>
  </si>
  <si>
    <t>Desconto (m²)</t>
  </si>
  <si>
    <t>Casarão (coberta)</t>
  </si>
  <si>
    <t>Total de alvenaria de vedação de blocos cerâmicos executado (m²)=</t>
  </si>
  <si>
    <t>Total de alvenaria de vedação de blocos cerâmicos de contrato (m²)=</t>
  </si>
  <si>
    <t>Total de alvenaria de vedação de blocos cerâmicos medido até o BM 20 (m²)=</t>
  </si>
  <si>
    <t>Total de alvenaria de vedação de blocos cerâmicos a medir no BM 21 (m²)=</t>
  </si>
  <si>
    <t>Total de alvenaria de vedação de blocos cerâmicos a aditar (m²)=</t>
  </si>
  <si>
    <t>Sala de apoio/Imprensa</t>
  </si>
  <si>
    <t>Alvenaria entre viga e laje (subsolo)</t>
  </si>
  <si>
    <t>Alvenarias laterais das lajes L5 e L6</t>
  </si>
  <si>
    <t>Embasamento CI1</t>
  </si>
  <si>
    <t>Fechamento de rampa (casarão)</t>
  </si>
  <si>
    <t>Embasamento para apoio das vias da L3</t>
  </si>
  <si>
    <t>Alvenaria de apoio das vigas do auditório</t>
  </si>
  <si>
    <t>Embasamento da viga CI3</t>
  </si>
  <si>
    <t>Total de parede com placas de gesso acartonado de contrato (m)=</t>
  </si>
  <si>
    <t>Total de parede com placas de gesso acartonado executado (m)=</t>
  </si>
  <si>
    <t>Total de parede com placas de gesso acartonado medido até o BM 20 (m)=</t>
  </si>
  <si>
    <t>Total de parede com placas de gesso acartonado a medir no BM 21 (m)=</t>
  </si>
  <si>
    <t>Total de massa única em argamassa medido até o BM 20 (m²)=</t>
  </si>
  <si>
    <t>Total de massa única em argamassa a medir no BM 21 (m²)=</t>
  </si>
  <si>
    <t>Total de chapisco aplicado medido até o BM 20 (m²)=</t>
  </si>
  <si>
    <t>Total de de chapisco aplicado a medir no BM 21 (m²)=</t>
  </si>
  <si>
    <t>Nível +14,80m a +18,00m</t>
  </si>
  <si>
    <t>Nível +18,00m a +21,20m</t>
  </si>
  <si>
    <t>Nível +21,20m a +22,10m</t>
  </si>
  <si>
    <t>Nível +24,00m a +27,00m</t>
  </si>
  <si>
    <t>Rampa do estacionamento 01</t>
  </si>
  <si>
    <t>Rampa de pedestre</t>
  </si>
  <si>
    <t>Total de emboço ou massa única em argamassa de contrato (m²)=</t>
  </si>
  <si>
    <t>Total de emboço ou massa única em argamassa a aditar (m²)=</t>
  </si>
  <si>
    <t>Total de emboço ou massa única em argamassa executado (m²)=</t>
  </si>
  <si>
    <t>Total de área de emboço ou massa única à aditar (m²) =</t>
  </si>
  <si>
    <t>Total de área de emboço ou massa única até o BM 20 (m²) =</t>
  </si>
  <si>
    <t>Total de área de emboço ou massa única à medir no BM 21 (m²) =</t>
  </si>
  <si>
    <t>Total de área de chapisco aplicado à aditar (m²) =</t>
  </si>
  <si>
    <t>Total de fundo selador acrílico medido até o BM 20 (m²)=</t>
  </si>
  <si>
    <t>Total de fundo selador acrílico a medir no BM 21 (m²)=</t>
  </si>
  <si>
    <t>10.1.3</t>
  </si>
  <si>
    <t>Total de pintura látex acrílica premium executado (m²)=</t>
  </si>
  <si>
    <t>Total de pintura látex acrílica premium de contrato (m²)=</t>
  </si>
  <si>
    <t>Total de aplicação manual de massa acrílica medido até o BM 20 (m²)=</t>
  </si>
  <si>
    <t>Total de aplicação manual de massa acrílica a medir no BM 21 (m²)=</t>
  </si>
  <si>
    <t>Total de pintura látex acrílica premium medido até o BM 20 (m²)=</t>
  </si>
  <si>
    <t>Total de pintura látex acrílica premium a medir no BM 21 (m²)=</t>
  </si>
  <si>
    <t>vTotal de pintura látex acrílica premium de contrato (m²)=</t>
  </si>
  <si>
    <t>RESUMO DA MEMÓRIA DE CÁLCULO DO BM 21</t>
  </si>
  <si>
    <t>10.2</t>
  </si>
  <si>
    <t>10.2.1</t>
  </si>
  <si>
    <t>10.2.2</t>
  </si>
  <si>
    <t>Fachada Leste</t>
  </si>
  <si>
    <t>Fachada Norte</t>
  </si>
  <si>
    <t>Fachada Sul</t>
  </si>
  <si>
    <t>10.2.3</t>
  </si>
  <si>
    <t>Total de aplicação manual de pintura com tinta executado (m²)=</t>
  </si>
  <si>
    <t>Total de aplicação manual de pintura com tinta de contrato (m²)=</t>
  </si>
  <si>
    <t>Total de aplicação manual de pintura com tinta medido até o BM 20 (m²)=</t>
  </si>
  <si>
    <t>Total de aplicação manual de pintura com tinta a medir no BM 21 (m²)=</t>
  </si>
  <si>
    <t>Diretoria LEG</t>
  </si>
  <si>
    <t>Cordenação LEG</t>
  </si>
  <si>
    <t>NTI</t>
  </si>
  <si>
    <t>Recepção + monitoramento</t>
  </si>
  <si>
    <t>Rampa pedestre</t>
  </si>
  <si>
    <t>Circulação do plenário</t>
  </si>
  <si>
    <t>Imprensa + áudio</t>
  </si>
  <si>
    <t>Auditório</t>
  </si>
  <si>
    <t>Circulação da escada do auditório</t>
  </si>
  <si>
    <t>Circulação externa do auditório + rampas</t>
  </si>
  <si>
    <t>Café externo</t>
  </si>
  <si>
    <t>Escadaria externa</t>
  </si>
  <si>
    <t>Jardineira</t>
  </si>
  <si>
    <t>Terraço</t>
  </si>
  <si>
    <t>Circulação + Hall</t>
  </si>
  <si>
    <t>Depósito 01</t>
  </si>
  <si>
    <t>Wc presidência</t>
  </si>
  <si>
    <t>Poço dos eslevadores</t>
  </si>
  <si>
    <t>Vestiários fem. E masc.</t>
  </si>
  <si>
    <t>Depósito 02</t>
  </si>
  <si>
    <t>Substação</t>
  </si>
  <si>
    <t>Total de contrapiso em argamassa medido até o BM 20 (m²)=</t>
  </si>
  <si>
    <t>Total de contrapiso em argamassa a medir no BM 21 (m²)=</t>
  </si>
  <si>
    <t>Total de área de contrapiso em argamassa até o BM 20 (m²) =</t>
  </si>
  <si>
    <t>Total de área de contrapiso em argamassa à medir no BM 21 (m²) =</t>
  </si>
  <si>
    <t>16.1</t>
  </si>
  <si>
    <t>Total de vasos sanitários executados executado (und)=</t>
  </si>
  <si>
    <t>Total de vasos sanitários executados de contrato (und)=</t>
  </si>
  <si>
    <t>Total de  vasos sanitários executados medido até o BM 20 (und)=</t>
  </si>
  <si>
    <t>Total de vasos sanitários executados a medir no BM 21 (und)=</t>
  </si>
  <si>
    <t>16.2</t>
  </si>
  <si>
    <t>INSTALAÇÕES HIDROSANITÁRIAS</t>
  </si>
  <si>
    <t>17.2</t>
  </si>
  <si>
    <t>17.2.6</t>
  </si>
  <si>
    <t>Caixa d'água superior</t>
  </si>
  <si>
    <t>Total de caixa d'água executado (und)=</t>
  </si>
  <si>
    <t>Total de caixa d'água medido até o BM 20 (und)=</t>
  </si>
  <si>
    <t>Total de caixa d'água a medir no BM 21 (und)=</t>
  </si>
  <si>
    <t>17.3.2</t>
  </si>
  <si>
    <t>Total de  terminal de ventilação executado (und) =</t>
  </si>
  <si>
    <t>Total de terminal de ventilação de contrato (und) =</t>
  </si>
  <si>
    <t>Total de terminal de ventilação medido até o BM 20 (und)=</t>
  </si>
  <si>
    <t>Total de terminal de ventilação a medir no BM 21 (und)=</t>
  </si>
  <si>
    <t>17.3.3</t>
  </si>
  <si>
    <t>Total de conjunto de pontos de coleta de esgoto executado (und) =</t>
  </si>
  <si>
    <t>Total de conjunto de pontos de coleta de esgoto de contrato (und) =</t>
  </si>
  <si>
    <t>Total de conjunto de pontos de coleta de esgoto medido até o BM 19 (und) =</t>
  </si>
  <si>
    <t>Total de conjunto de pontos de coleta de esgoto à medir no BM 20 (und) =</t>
  </si>
  <si>
    <t>ÁGUA FRIA</t>
  </si>
  <si>
    <t>Total de caixa d'água de contrato (m)=</t>
  </si>
  <si>
    <t>17.3.10</t>
  </si>
  <si>
    <t>Total de ralo sifonado redondo executado (und) =</t>
  </si>
  <si>
    <t>Total de ralo sifonado redondo de contrato (und) =</t>
  </si>
  <si>
    <t>Total de conjunto de pontos de coleta de esgoto medido até o BM 20 (und) =</t>
  </si>
  <si>
    <t>Total de conjunto de pontos de coleta de esgoto à medir no BM 21 (und) =</t>
  </si>
  <si>
    <t>Total de ralo sifonado redondo medido até o BM 20 (und) =</t>
  </si>
  <si>
    <t>Total de ralo sifonado redondo à medir no BM 21 (und) =</t>
  </si>
  <si>
    <t>18.4</t>
  </si>
  <si>
    <t>Alimentação</t>
  </si>
  <si>
    <t>Total de cabo de cobre isolado executado (m)=</t>
  </si>
  <si>
    <t>18.4.3</t>
  </si>
  <si>
    <t>18.4.4</t>
  </si>
  <si>
    <t>Total de cabo de cobre isolado de contrato (m)=</t>
  </si>
  <si>
    <t>Total de cabo de cobre isolado medido até o BM 20 (m)=</t>
  </si>
  <si>
    <t>Total de cabo de cobre isolado a medir no BM 21 (m)=</t>
  </si>
  <si>
    <t>18.8.7</t>
  </si>
  <si>
    <t>Total de eletrocalha perfurada tipo "U" 300x100 executado (m)=</t>
  </si>
  <si>
    <t>Total de eletrocalha perfurada tipo "U" 300x100 de contrato (m)=</t>
  </si>
  <si>
    <t>Total de eletrocalha perfurada tipo "U" 300x100 até o BM 20 (m)=</t>
  </si>
  <si>
    <t>Total de eletrocalha perfurada tipo "U" 300x100 a medir no BM 21 (m)=</t>
  </si>
  <si>
    <t>23.1.6</t>
  </si>
  <si>
    <t>Comprimento de eletrocalha perfurada tipo U  50x50 (m) =</t>
  </si>
  <si>
    <t>Total de eletrocalha perfurada tipo U medido até o BM 20 (m)=</t>
  </si>
  <si>
    <t>Total de eletrocalha perfurada tipo U a medir no BM 21 (m)=</t>
  </si>
  <si>
    <t>Data center</t>
  </si>
  <si>
    <t>Escada 01</t>
  </si>
  <si>
    <t>Escada 02</t>
  </si>
  <si>
    <t>Área de convidados</t>
  </si>
  <si>
    <t>6.3</t>
  </si>
  <si>
    <t>wcs</t>
  </si>
  <si>
    <t>Total de divisória sanitária executado (m²)=</t>
  </si>
  <si>
    <t>6.5</t>
  </si>
  <si>
    <t>Total de divisória em vidro temperado executado (m²)=</t>
  </si>
  <si>
    <t>Total de divisória sanitária de contrato (m²)=</t>
  </si>
  <si>
    <t>Total de divisória sanitária medido até o BM 20 (m²)=</t>
  </si>
  <si>
    <t>Total de divisória sanitária a medir no BM 21 (m²)=</t>
  </si>
  <si>
    <t>Total de divisória em vidro temperado de contrato (m²)=</t>
  </si>
  <si>
    <t>Total de divisória em vidro temperado medido até o BM 20 (m²)=</t>
  </si>
  <si>
    <t>Total de divisória em vidro temperado a medir no BM 21 (m²)=</t>
  </si>
  <si>
    <t>9.1.4</t>
  </si>
  <si>
    <t>Áreas onde executa o piso vinilico</t>
  </si>
  <si>
    <t>Total de rodapé em poliestireno executado (m)=</t>
  </si>
  <si>
    <t>Total de rodapé em poliestireno de contrato (m)=</t>
  </si>
  <si>
    <t>Total de  rodapé em poliestireno medido até o BM 20 (m)=</t>
  </si>
  <si>
    <t>Total de rodapé em poliestireno a medir no BM 21 (m)=</t>
  </si>
  <si>
    <t>Total de painel de lã de vidro sem revestimento medido até o BM 20 (m²)=</t>
  </si>
  <si>
    <t>Total de painel de lã de vidro sem revestimento a medir no BM 21 (m²)=</t>
  </si>
  <si>
    <t>Total de painel de lã de vidro até o BM 20 (m²) =</t>
  </si>
  <si>
    <t>Total de painel de lã de vidro à medir no BM 21 (m²) =</t>
  </si>
  <si>
    <t>***</t>
  </si>
  <si>
    <t>Total de execução de passeio (calçada) a executado (m³) =</t>
  </si>
  <si>
    <t>Total de execução de passeio (calçada) de contrato (m³) =</t>
  </si>
  <si>
    <t>Total de execução de passeio (calçada) medido até o BM 20 (m³) =</t>
  </si>
  <si>
    <t>Total de execução de passeio (calçada) a medir no BM 21 (m³) =</t>
  </si>
  <si>
    <t>12.8</t>
  </si>
  <si>
    <t>Área de piso elevado</t>
  </si>
  <si>
    <t>Total de piso elevado executado (m²) =</t>
  </si>
  <si>
    <t>Total de piso elevado de contrato (m²) =</t>
  </si>
  <si>
    <t>Total de piso elevado medido até o BM 20 (m²) =</t>
  </si>
  <si>
    <t>Total de piso elevado a medir no BM 21 (m²) =</t>
  </si>
  <si>
    <t>12.9</t>
  </si>
  <si>
    <t>Total de concretagem de radier executado (m³) =</t>
  </si>
  <si>
    <t>12.10</t>
  </si>
  <si>
    <t>Total de acabamento polido de contrato (m²) =</t>
  </si>
  <si>
    <t>Total de acabamento polido medido até o BM 20 (m²) =</t>
  </si>
  <si>
    <t>Total de acabamento polido a medir no BM 21 (m²) =</t>
  </si>
  <si>
    <t>Total de concretagem de radier de contrato (m³) =</t>
  </si>
  <si>
    <t>Total de concretagem de radier medido até o BM 20 (m³) =</t>
  </si>
  <si>
    <t>Total de concretagem de radier a medir no BM 21 (m³) =</t>
  </si>
  <si>
    <t>Total de acabamento polido executado (m²) =</t>
  </si>
  <si>
    <t>A quantidade a ser medida será referente a parte de compra do material a ser utilizado do valor contratado (m²) =</t>
  </si>
  <si>
    <t>Total de cortina de vidro medido até o BM 20 (m²)=</t>
  </si>
  <si>
    <t>Total de cortina de vidro a medir no BM 21 (m²)=</t>
  </si>
  <si>
    <t>18.6</t>
  </si>
  <si>
    <t>18.6.4</t>
  </si>
  <si>
    <t>Total de transformador de distribbuição executado (und)=</t>
  </si>
  <si>
    <t>Total de transformador de distribuição de contrato (und)=</t>
  </si>
  <si>
    <t>Total de transformador de distribuição até o BM 20 (und)=</t>
  </si>
  <si>
    <t>Total de transformador de distribuição a medir no BM 21 (und)=</t>
  </si>
  <si>
    <t>Total de abrigo para hidrantes de contrato (und)=</t>
  </si>
  <si>
    <t>Quantidade de abrigo para hidraantes utilizados em projeto de Instalações de Incêndio (und) =</t>
  </si>
  <si>
    <t>4.3.2.5</t>
  </si>
  <si>
    <t>Total de camada separado para execução de radier executado (m²) =</t>
  </si>
  <si>
    <t>Total de camada separado para execução de radier de contrato (m²) =</t>
  </si>
  <si>
    <t>Total de camada separado para execução de radier medido até o BM 20 (m²) =</t>
  </si>
  <si>
    <t>Total de camada separado para execução de radier a medir no BM 21 (m²) =</t>
  </si>
  <si>
    <t>Área de aplicação da camada</t>
  </si>
  <si>
    <t>Total de camada separadora para execução de radier executado (m²) =</t>
  </si>
  <si>
    <t>Total de camada separadora para execução de radier de contrato (m²) =</t>
  </si>
  <si>
    <t>Total de camada separadora para execução de radier medido até o BM 20 (m²) =</t>
  </si>
  <si>
    <t>Total de camada separadora para execução de radier a medir no BM 21 (m²) =</t>
  </si>
  <si>
    <t>Paredes de divisão</t>
  </si>
  <si>
    <t>Peso total de fornecimento e montagem de estrutura metálica medido até o BM 17 (kg)=</t>
  </si>
  <si>
    <t>Peso total de fornecimento e montagem de estrutura metálica a medir no BM 18 (kg)=</t>
  </si>
  <si>
    <t>ARMAÇÃO DE PILAR OU VIGA DE ESTRUTURA CONVENCIONAL DE CONCRETO ARMADO UTILIZANDO AÇO CA-50 DE 5.0 MM - MONTAGEM. AF_06/2022</t>
  </si>
  <si>
    <t>Total (Kg)</t>
  </si>
  <si>
    <t>CI2 - Nivel 0,0 - Prancha 19</t>
  </si>
  <si>
    <t>CI3 - nível +1,30 - Prancha 19</t>
  </si>
  <si>
    <t>CI4 - nível +1,30 - Prancha 19</t>
  </si>
  <si>
    <t>CI5 -  nível +1,30 - Prancha 19</t>
  </si>
  <si>
    <t>CI6 - nível intermediário - Prancha 25</t>
  </si>
  <si>
    <t>CI7 - nível intermediário - Prancha 25</t>
  </si>
  <si>
    <t>CI8 - nível +4,50 - Prancha 33</t>
  </si>
  <si>
    <t>CI9 - nível intermediário - Pracha 34</t>
  </si>
  <si>
    <t>CS1 - nível 0,0 - Prancha 19</t>
  </si>
  <si>
    <t>CS2 - nível +1,30 - Prancha 19</t>
  </si>
  <si>
    <t>CS3 - nível +4,50 - Prancha 33</t>
  </si>
  <si>
    <t>CS4 - nível intermediário - Prancha 34</t>
  </si>
  <si>
    <t>CS5 - nível +8,40 - Prancha 42</t>
  </si>
  <si>
    <t>CS6 - Prancha 49</t>
  </si>
  <si>
    <t>CS7 - nível +24,00 - Prancha 62</t>
  </si>
  <si>
    <t>CI10 - nível +8,40 - Prancha 42</t>
  </si>
  <si>
    <t>CI11 - nível +11,60 - Prancha 42</t>
  </si>
  <si>
    <t>CI12 - nível 21,20 - Prancha 56</t>
  </si>
  <si>
    <t>Pilares PA7, 8, 9, 10, 11, 12, 13 (prancha 24)</t>
  </si>
  <si>
    <t>Pilares PA14 (prancha 33)</t>
  </si>
  <si>
    <t>Pilares PA15 (prancha 34)</t>
  </si>
  <si>
    <t>Pilares PA16 (prancha 42)</t>
  </si>
  <si>
    <t>PA17 (Prancha 56)</t>
  </si>
  <si>
    <t>Pilares PA18 (prancha 59)</t>
  </si>
  <si>
    <t>Vigas e pilares do jardim, acabamento de portas e áreas externas</t>
  </si>
  <si>
    <t>Total de armação de pilar ou viga executado (kg) =</t>
  </si>
  <si>
    <t>Total de armação de pilar ou viga medido até o BM 14 (kg) =</t>
  </si>
  <si>
    <t>CI7 - nível +4,50 - Prancha 33</t>
  </si>
  <si>
    <t>Vigas do jardim, acabamento de portas e áreas externas</t>
  </si>
  <si>
    <t>Pilares PA17 (prancha 56)</t>
  </si>
  <si>
    <t>Pilares do jardim, acabamento de portas e áreas externas</t>
  </si>
  <si>
    <t>Fachadas</t>
  </si>
  <si>
    <t>Total de tratamento de junta de dilatação executado (m) =</t>
  </si>
  <si>
    <t>Total de tratamento de junta de dilatação de contrato (m) =</t>
  </si>
  <si>
    <t>Total de armação de laje a medir no BM 20 (m) =</t>
  </si>
  <si>
    <t>Total de impermeabilização de junta de dilatação executado (m²) =</t>
  </si>
  <si>
    <t>Total de impermeabilização de junta de dilatação de contrato (m²) =</t>
  </si>
  <si>
    <t>Total de tratamento de junta de dilatação medido até o BM 20 (m)=</t>
  </si>
  <si>
    <t>Total de tratamento de junta de dilatação a medir no BM 21 (m)=</t>
  </si>
  <si>
    <t>Total de impermezabilização de junta de dilatação medido até o BM 20 (m²)=</t>
  </si>
  <si>
    <t>Total de  impermezabilização de junta de dilatação a medir no BM 21 (m²)=</t>
  </si>
  <si>
    <t>Total de impermeabilização de junta de dilatação medido até o BM 20 (m²) =</t>
  </si>
  <si>
    <t>Total de impermeabilização de junta de dilatação a medir no BM 21 (m²) =</t>
  </si>
  <si>
    <t>Total de armação de laje medido até o BM 20 (m) =</t>
  </si>
  <si>
    <t>Comprimento especificado em projeto de climatização (m) =</t>
  </si>
  <si>
    <t>Total de  tubo em cobre flexivel, DN 1/4" medido até o BM  19 (m)=</t>
  </si>
  <si>
    <t>Total de  tubo em cobre flexivel, DN 1/2" medido até  BM 19 (m)=</t>
  </si>
  <si>
    <t>Total de  tubo em cobre flexivel, DN 3/8" a medir no BM 20 (m)=</t>
  </si>
  <si>
    <t>Comprimento especificado em projeto de climatização (l) =</t>
  </si>
  <si>
    <t>Total de tubo em cobre flexivel, DN 1 5/8" executado (l)=</t>
  </si>
  <si>
    <t>Total de  tubo em cobre flexivel, DN 1 5/8" de contrato (l)=</t>
  </si>
  <si>
    <t>Total de  tubo em cobre flexivel, DN 1 5/8" medido até o BM 19 (l)=</t>
  </si>
  <si>
    <t>Total de  tubo em cobre flexivel, DN 1 5/8" a medir no BM 20 (l)=</t>
  </si>
  <si>
    <t>Comprimento de cabo shield para  climatização (m) =</t>
  </si>
  <si>
    <t>Total de comprimento de cabo shield para  climatização executado (m)=</t>
  </si>
  <si>
    <t>Total de comprimento de cabo shield para  climatização de contrato (m)=</t>
  </si>
  <si>
    <t>Total de comprimento de cabo shield para  climatização medido até o BM  20 (m)=</t>
  </si>
  <si>
    <t>Total de comprimento de cabo shield para  climatização a medir no BM 21 (m)=</t>
  </si>
  <si>
    <t>Total de cabo shield blindado medido até o BM 20 (m)=</t>
  </si>
  <si>
    <t>Total de  cabo shield blindado a medir no BM 21 (m)=</t>
  </si>
  <si>
    <t>Coberta (casarão)</t>
  </si>
  <si>
    <t>Coberta (prédio principal)</t>
  </si>
  <si>
    <t>11.3</t>
  </si>
  <si>
    <t>Vestiários</t>
  </si>
  <si>
    <t>Contenção</t>
  </si>
  <si>
    <t>Total de impermeabilização de superfície com argamassa polimérica executado (m²)=</t>
  </si>
  <si>
    <t>Total de impermeabilização com argamassa polimérica de contrato (m²)=</t>
  </si>
  <si>
    <t>Total de impermeabilização com argamassa polimérica medido até o BM 17 (m²)=</t>
  </si>
  <si>
    <t>Total de impermeabilização com argamassa polimérica a medir no BM 18 (m²)=</t>
  </si>
  <si>
    <t>Área técnica 01</t>
  </si>
  <si>
    <t>Área técnica 02</t>
  </si>
  <si>
    <t>Área técnica 03</t>
  </si>
  <si>
    <t>casarão</t>
  </si>
  <si>
    <t>Total de impermeabilização com manta asfáltica medido até o BM 20 (m²)=</t>
  </si>
  <si>
    <t>Total de impermeabilização com manta asfáltica a medir no BM 21 (m²)=</t>
  </si>
  <si>
    <t>Total de icontrapiso em argamassa medido até o BM 20 (m²)=</t>
  </si>
  <si>
    <t>11.5</t>
  </si>
  <si>
    <t>Total de reparo/colagem de estruturas de concreto executado (m²)=</t>
  </si>
  <si>
    <t>Total de  reparo/colagem de estruturas de concreto de contrato (m²)=</t>
  </si>
  <si>
    <t>Total de reparo/colagem de estruturas de concreto medido até o BM 20 (m²)=</t>
  </si>
  <si>
    <t>Total de reparo/colagem de estruturas de concreto a medir no BM 21 (m²)=</t>
  </si>
  <si>
    <t>Total de forro de contrato (m²)=</t>
  </si>
  <si>
    <t>Total de forro medido até o BM 20 (m²)=</t>
  </si>
  <si>
    <t>Total de forro a medir no BM 21 (m²)=</t>
  </si>
  <si>
    <t>Total de abrigo para hidrantes medido até o BM 20 (und)=</t>
  </si>
  <si>
    <t>Total de abrigo para hidrantes a medir no BM 21 (und)=</t>
  </si>
  <si>
    <t>Foi considerado a compra do material</t>
  </si>
  <si>
    <t>Total de piso vinílico semi-flexivel medido até o BM 20 (m²) =</t>
  </si>
  <si>
    <t>Total de rpiso vinílico semi-flexivel a medir no BM 21 (m²) =</t>
  </si>
  <si>
    <t>Total de piso vinilico semi-flexível até o BM 20 (m²) =</t>
  </si>
  <si>
    <t>Total de área de piso vinilico semi-flexível à medir no BM 21 (m²) =</t>
  </si>
  <si>
    <t>Escadas</t>
  </si>
  <si>
    <t>17.2.7</t>
  </si>
  <si>
    <t>Caixa d'água</t>
  </si>
  <si>
    <t>Total de barriletes executado (und)=</t>
  </si>
  <si>
    <t>Total de barriletes medido até o BM 20 (und)=</t>
  </si>
  <si>
    <t>Total de barriletes a medir no BM 21 (und)=</t>
  </si>
  <si>
    <t>Total de barriletes de contrato (m)=</t>
  </si>
  <si>
    <t>18.8.12</t>
  </si>
  <si>
    <t>Total de eletrocalha perfurada tipo "U" 50x50 executado (m)=</t>
  </si>
  <si>
    <t>Total de eletrocalha perfurada tipo "U" 50x50 de contrato (m)=</t>
  </si>
  <si>
    <t>Total de eletrocalha perfurada tipo "U" 50x50 até o BM 20 (m)=</t>
  </si>
  <si>
    <t>Total de eletrocalha perfurada tipo "U" 50x50 a medir no BM 21 (m)=</t>
  </si>
  <si>
    <t>Total de abrigo para hidrante executado (und)=</t>
  </si>
  <si>
    <t>Total de abrigo para hidrante de contrato (m)=</t>
  </si>
  <si>
    <t>Total de abrigo para hidrante medido até o BM 20 (m)=</t>
  </si>
  <si>
    <t>Total de abrigo para hidrante a medir no BM 21 (m)=</t>
  </si>
  <si>
    <t>18.1</t>
  </si>
  <si>
    <t>PONTOS ELÉTRICOS</t>
  </si>
  <si>
    <t>18.1.1</t>
  </si>
  <si>
    <t>Casarão (térreo)</t>
  </si>
  <si>
    <t xml:space="preserve">Mesanino </t>
  </si>
  <si>
    <t xml:space="preserve">1º pavimento </t>
  </si>
  <si>
    <t>Total de ponto elétrico de iluminação executado (und)=</t>
  </si>
  <si>
    <t>Total de ponto elétrico de iluminação de contrato (und)=</t>
  </si>
  <si>
    <t>18.1.3</t>
  </si>
  <si>
    <t>Total de ponto elétrico de tomada de uso geral 2P+T (10A/250V) executado (und)=</t>
  </si>
  <si>
    <t>Total de ponto elétrico de iluminação medido até o BM 20 (und)=</t>
  </si>
  <si>
    <t>Total de ponto elétrico de iluminação a medir no BM 21 (und)=</t>
  </si>
  <si>
    <t>Total de ponto elétrico de tomada de uso geral 2P+T (10A/250V) medido até o BM 20 (und)=</t>
  </si>
  <si>
    <t>Total de ponto elétrico de tomada de uso geral 2P+T (10A/250V) a medir no BM 21 (und)=</t>
  </si>
  <si>
    <t>Total de ponto elétrico de iluminação executado (und) =</t>
  </si>
  <si>
    <t>Total de  ponto elétrico de iluminação  de contrato (und) =</t>
  </si>
  <si>
    <t>Total de ponto elétrico de tomada de uso geral 2P+T (10A/250V) executado (und) =</t>
  </si>
  <si>
    <t>Total de  ponto elétrico de tomada de uso geral 2P+T (10A/250V)   de contrato (und) =</t>
  </si>
  <si>
    <t>Total de ponto elétrico de iluminação medido  até o BM 20 (und) =</t>
  </si>
  <si>
    <t>Total de  ponto elétrico de iluminação  à medir no BM 21 (und) =</t>
  </si>
  <si>
    <t>Total de ponto elétrico de tomada de uso geral 2P+T (10A/250V)  medido  até o BM 20 (und) =</t>
  </si>
  <si>
    <t>Total de ponto elétrico de tomada de uso geral 2P+T (10A/250V) à medir no BM 21 (und)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</si>
</sst>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43" formatCode="_-* #,##0.00_-;\-* #,##0.00_-;_-* &quot;-&quot;??_-;_-@_-"/>
  </numFmts>
  <fonts count="22" x14ac:knownFonts="1">
    <font>
      <sz val="11"/>
      <name val="Arial"/>
      <family val="1"/>
    </font>
    <font>
      <sz val="11"/>
      <color theme="1"/>
      <name val="Calibri"/>
      <family val="2"/>
      <scheme val="minor"/>
    </font>
    <font>
      <sz val="11"/>
      <name val="Arial"/>
      <family val="2"/>
    </font>
    <font>
      <b/>
      <sz val="11"/>
      <name val="Arial"/>
      <family val="2"/>
    </font>
    <font>
      <b/>
      <sz val="10"/>
      <name val="Arial"/>
      <family val="2"/>
    </font>
    <font>
      <sz val="12"/>
      <color indexed="8"/>
      <name val="Arial"/>
      <family val="2"/>
    </font>
    <font>
      <sz val="12"/>
      <name val="Arial"/>
      <family val="2"/>
    </font>
    <font>
      <sz val="10"/>
      <name val="Arial"/>
      <family val="2"/>
    </font>
    <font>
      <b/>
      <sz val="12"/>
      <name val="Arial"/>
      <family val="2"/>
    </font>
    <font>
      <b/>
      <sz val="20"/>
      <name val="Arial Narrow"/>
      <family val="2"/>
    </font>
    <font>
      <b/>
      <sz val="18"/>
      <name val="Arial"/>
      <family val="2"/>
    </font>
    <font>
      <b/>
      <sz val="10"/>
      <color rgb="FF000000"/>
      <name val="Arial"/>
      <family val="2"/>
    </font>
    <font>
      <b/>
      <sz val="10"/>
      <color rgb="FFFF0000"/>
      <name val="Arial"/>
      <family val="2"/>
    </font>
    <font>
      <sz val="10"/>
      <color rgb="FF000000"/>
      <name val="Arial"/>
      <family val="2"/>
    </font>
    <font>
      <sz val="10"/>
      <color rgb="FF000000"/>
      <name val="Times New Roman"/>
      <family val="1"/>
    </font>
    <font>
      <b/>
      <sz val="10"/>
      <color theme="1"/>
      <name val="Arial"/>
      <family val="2"/>
    </font>
    <font>
      <b/>
      <sz val="14"/>
      <name val="Arial"/>
      <family val="2"/>
    </font>
    <font>
      <b/>
      <sz val="8"/>
      <name val="Arial"/>
      <family val="2"/>
    </font>
    <font>
      <sz val="8"/>
      <name val="Arial"/>
      <family val="1"/>
    </font>
    <font>
      <sz val="8"/>
      <color rgb="FFFF0000"/>
      <name val="Arial"/>
      <family val="2"/>
    </font>
    <font>
      <sz val="10"/>
      <color rgb="FFFF0000"/>
      <name val="Times New Roman"/>
      <family val="1"/>
    </font>
    <font>
      <sz val="10"/>
      <name val="Times New Roman"/>
      <family val="1"/>
    </font>
  </fonts>
  <fills count="11">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FFFFF"/>
      </patternFill>
    </fill>
    <fill>
      <patternFill patternType="solid">
        <fgColor rgb="FFD8ECF6"/>
      </patternFill>
    </fill>
    <fill>
      <patternFill patternType="solid">
        <fgColor theme="0" tint="-0.14999847407452621"/>
        <bgColor indexed="64"/>
      </patternFill>
    </fill>
    <fill>
      <patternFill patternType="solid">
        <fgColor theme="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4" tint="0.39997558519241921"/>
        <bgColor indexed="64"/>
      </patternFill>
    </fill>
  </fills>
  <borders count="54">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medium">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right style="thin">
        <color rgb="FFCCCCCC"/>
      </right>
      <top/>
      <bottom style="thin">
        <color rgb="FFCCCCCC"/>
      </bottom>
      <diagonal/>
    </border>
    <border>
      <left style="thin">
        <color indexed="64"/>
      </left>
      <right style="thin">
        <color rgb="FFCCCCCC"/>
      </right>
      <top/>
      <bottom style="thin">
        <color rgb="FFCCCCCC"/>
      </bottom>
      <diagonal/>
    </border>
    <border>
      <left style="thin">
        <color rgb="FFCCCCCC"/>
      </left>
      <right style="thin">
        <color indexed="64"/>
      </right>
      <top/>
      <bottom style="thin">
        <color rgb="FFCCCCCC"/>
      </bottom>
      <diagonal/>
    </border>
    <border>
      <left style="thin">
        <color indexed="64"/>
      </left>
      <right style="thin">
        <color rgb="FFCCCCCC"/>
      </right>
      <top style="thin">
        <color rgb="FFCCCCCC"/>
      </top>
      <bottom style="thin">
        <color rgb="FFCCCCCC"/>
      </bottom>
      <diagonal/>
    </border>
    <border>
      <left style="thin">
        <color rgb="FFCCCCCC"/>
      </left>
      <right style="thin">
        <color indexed="64"/>
      </right>
      <top style="thin">
        <color rgb="FFCCCCCC"/>
      </top>
      <bottom style="thin">
        <color rgb="FFCCCCCC"/>
      </bottom>
      <diagonal/>
    </border>
    <border>
      <left style="thin">
        <color indexed="64"/>
      </left>
      <right style="thin">
        <color rgb="FFCCCCCC"/>
      </right>
      <top style="thin">
        <color rgb="FFCCCCCC"/>
      </top>
      <bottom/>
      <diagonal/>
    </border>
    <border>
      <left style="thin">
        <color rgb="FFCCCCCC"/>
      </left>
      <right style="thin">
        <color indexed="64"/>
      </right>
      <top style="thin">
        <color rgb="FFCCCCCC"/>
      </top>
      <bottom/>
      <diagonal/>
    </border>
    <border>
      <left style="hair">
        <color indexed="64"/>
      </left>
      <right style="hair">
        <color indexed="64"/>
      </right>
      <top style="hair">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4" fillId="0" borderId="0"/>
    <xf numFmtId="0" fontId="1" fillId="0" borderId="0"/>
    <xf numFmtId="43" fontId="1" fillId="0" borderId="0" applyFont="0" applyFill="0" applyBorder="0" applyAlignment="0" applyProtection="0"/>
  </cellStyleXfs>
  <cellXfs count="307">
    <xf numFmtId="0" fontId="0" fillId="0" borderId="0" xfId="0"/>
    <xf numFmtId="0" fontId="3"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horizontal="left" vertical="top" wrapText="1"/>
    </xf>
    <xf numFmtId="0" fontId="2" fillId="0" borderId="0" xfId="0" applyFont="1"/>
    <xf numFmtId="0" fontId="3" fillId="0" borderId="0" xfId="0" applyFont="1" applyAlignment="1">
      <alignment horizontal="center" vertical="center" wrapText="1"/>
    </xf>
    <xf numFmtId="0" fontId="3" fillId="4" borderId="11" xfId="0" applyFont="1" applyFill="1" applyBorder="1" applyAlignment="1">
      <alignment horizontal="center" vertical="center" wrapText="1"/>
    </xf>
    <xf numFmtId="0" fontId="11" fillId="5" borderId="12" xfId="0" applyFont="1" applyFill="1" applyBorder="1" applyAlignment="1">
      <alignment horizontal="left" vertical="center" wrapText="1"/>
    </xf>
    <xf numFmtId="0" fontId="11" fillId="5" borderId="12" xfId="0" applyFont="1" applyFill="1" applyBorder="1" applyAlignment="1">
      <alignment horizontal="right" vertical="center" wrapText="1"/>
    </xf>
    <xf numFmtId="43" fontId="11" fillId="5" borderId="12" xfId="0" applyNumberFormat="1" applyFont="1" applyFill="1" applyBorder="1" applyAlignment="1">
      <alignment horizontal="left" vertical="center" wrapText="1"/>
    </xf>
    <xf numFmtId="43" fontId="11" fillId="5" borderId="12" xfId="0" applyNumberFormat="1" applyFont="1" applyFill="1" applyBorder="1" applyAlignment="1">
      <alignment horizontal="right" vertical="center" wrapText="1"/>
    </xf>
    <xf numFmtId="0" fontId="13" fillId="0" borderId="13" xfId="0" applyFont="1" applyBorder="1" applyAlignment="1">
      <alignment horizontal="left" vertical="center" wrapText="1"/>
    </xf>
    <xf numFmtId="0" fontId="13" fillId="0" borderId="13" xfId="0" applyFont="1" applyBorder="1" applyAlignment="1">
      <alignment horizontal="center" vertical="center" wrapText="1"/>
    </xf>
    <xf numFmtId="43" fontId="13" fillId="0" borderId="13" xfId="0" applyNumberFormat="1" applyFont="1" applyBorder="1" applyAlignment="1">
      <alignment horizontal="right" vertical="center" wrapText="1"/>
    </xf>
    <xf numFmtId="4" fontId="13" fillId="0" borderId="13" xfId="0" applyNumberFormat="1" applyFont="1" applyBorder="1" applyAlignment="1">
      <alignment horizontal="right" vertical="center" wrapText="1"/>
    </xf>
    <xf numFmtId="44" fontId="13" fillId="0" borderId="13" xfId="0" applyNumberFormat="1" applyFont="1" applyBorder="1" applyAlignment="1">
      <alignment horizontal="right" vertical="center" wrapText="1"/>
    </xf>
    <xf numFmtId="0" fontId="11" fillId="5" borderId="13" xfId="0" applyFont="1" applyFill="1" applyBorder="1" applyAlignment="1">
      <alignment horizontal="left" vertical="center" wrapText="1"/>
    </xf>
    <xf numFmtId="0" fontId="11" fillId="5" borderId="13" xfId="0" applyFont="1" applyFill="1" applyBorder="1" applyAlignment="1">
      <alignment horizontal="right" vertical="center" wrapText="1"/>
    </xf>
    <xf numFmtId="4" fontId="11" fillId="5" borderId="13" xfId="0" applyNumberFormat="1" applyFont="1" applyFill="1" applyBorder="1" applyAlignment="1">
      <alignment horizontal="right" vertical="center" wrapText="1"/>
    </xf>
    <xf numFmtId="43" fontId="11" fillId="5" borderId="13" xfId="0" applyNumberFormat="1" applyFont="1" applyFill="1" applyBorder="1" applyAlignment="1">
      <alignment horizontal="left" vertical="center" wrapText="1"/>
    </xf>
    <xf numFmtId="43" fontId="11" fillId="5" borderId="13" xfId="0" applyNumberFormat="1" applyFont="1" applyFill="1" applyBorder="1" applyAlignment="1">
      <alignment horizontal="right" vertical="center" wrapText="1"/>
    </xf>
    <xf numFmtId="0" fontId="13" fillId="0" borderId="14" xfId="0" applyFont="1" applyBorder="1" applyAlignment="1">
      <alignment horizontal="left" vertical="center" wrapText="1"/>
    </xf>
    <xf numFmtId="0" fontId="13" fillId="0" borderId="14" xfId="0" applyFont="1" applyBorder="1" applyAlignment="1">
      <alignment horizontal="center" vertical="center" wrapText="1"/>
    </xf>
    <xf numFmtId="43" fontId="13" fillId="0" borderId="14" xfId="0" applyNumberFormat="1" applyFont="1" applyBorder="1" applyAlignment="1">
      <alignment horizontal="right" vertical="center" wrapText="1"/>
    </xf>
    <xf numFmtId="43" fontId="4" fillId="4" borderId="11"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0" xfId="0" applyFont="1" applyFill="1" applyAlignment="1">
      <alignment horizontal="right" vertical="center" wrapText="1"/>
    </xf>
    <xf numFmtId="0" fontId="7" fillId="4" borderId="0" xfId="0" applyFont="1" applyFill="1" applyAlignment="1">
      <alignment horizontal="left" vertical="center" wrapText="1"/>
    </xf>
    <xf numFmtId="0" fontId="4" fillId="4" borderId="0" xfId="0" applyFont="1" applyFill="1" applyAlignment="1">
      <alignment horizontal="left" vertical="center" wrapText="1"/>
    </xf>
    <xf numFmtId="0" fontId="2" fillId="0" borderId="0" xfId="0" applyFont="1" applyAlignment="1">
      <alignment horizontal="right" vertical="center"/>
    </xf>
    <xf numFmtId="0" fontId="13" fillId="0" borderId="15" xfId="1" applyFont="1" applyBorder="1" applyAlignment="1">
      <alignment horizontal="center" vertical="top"/>
    </xf>
    <xf numFmtId="0" fontId="13" fillId="0" borderId="16" xfId="1" applyFont="1" applyBorder="1" applyAlignment="1">
      <alignment horizontal="center" vertical="top"/>
    </xf>
    <xf numFmtId="0" fontId="13" fillId="0" borderId="17" xfId="1" applyFont="1" applyBorder="1" applyAlignment="1">
      <alignment horizontal="left" vertical="top"/>
    </xf>
    <xf numFmtId="0" fontId="14" fillId="0" borderId="0" xfId="1" applyAlignment="1">
      <alignment horizontal="left" vertical="top"/>
    </xf>
    <xf numFmtId="0" fontId="13" fillId="0" borderId="18" xfId="1" applyFont="1" applyBorder="1" applyAlignment="1">
      <alignment horizontal="center" vertical="top"/>
    </xf>
    <xf numFmtId="0" fontId="13" fillId="0" borderId="0" xfId="1" applyFont="1" applyAlignment="1">
      <alignment horizontal="center" vertical="top"/>
    </xf>
    <xf numFmtId="0" fontId="13" fillId="0" borderId="19" xfId="1" applyFont="1" applyBorder="1" applyAlignment="1">
      <alignment horizontal="left" vertical="top"/>
    </xf>
    <xf numFmtId="0" fontId="15" fillId="0" borderId="18" xfId="1" applyFont="1" applyBorder="1" applyAlignment="1">
      <alignment vertical="center"/>
    </xf>
    <xf numFmtId="0" fontId="15" fillId="0" borderId="0" xfId="1" applyFont="1" applyAlignment="1">
      <alignment vertical="center"/>
    </xf>
    <xf numFmtId="4" fontId="13" fillId="0" borderId="0" xfId="1" applyNumberFormat="1" applyFont="1" applyAlignment="1">
      <alignment horizontal="center" vertical="center"/>
    </xf>
    <xf numFmtId="0" fontId="13" fillId="0" borderId="19" xfId="1" applyFont="1" applyBorder="1" applyAlignment="1">
      <alignment horizontal="left" vertical="center"/>
    </xf>
    <xf numFmtId="0" fontId="13" fillId="0" borderId="18" xfId="1" applyFont="1" applyBorder="1" applyAlignment="1">
      <alignment horizontal="left" vertical="top"/>
    </xf>
    <xf numFmtId="0" fontId="13" fillId="0" borderId="0" xfId="1" applyFont="1" applyAlignment="1">
      <alignment horizontal="left" vertical="top"/>
    </xf>
    <xf numFmtId="0" fontId="14" fillId="0" borderId="0" xfId="1" applyAlignment="1">
      <alignment horizontal="left" vertical="center"/>
    </xf>
    <xf numFmtId="0" fontId="11" fillId="7" borderId="11" xfId="1" applyFont="1" applyFill="1" applyBorder="1" applyAlignment="1">
      <alignment horizontal="center" vertical="center"/>
    </xf>
    <xf numFmtId="1" fontId="11" fillId="8" borderId="11" xfId="1" applyNumberFormat="1" applyFont="1" applyFill="1" applyBorder="1" applyAlignment="1">
      <alignment horizontal="center" vertical="center" shrinkToFit="1"/>
    </xf>
    <xf numFmtId="0" fontId="13" fillId="0" borderId="25" xfId="1" applyFont="1" applyBorder="1" applyAlignment="1">
      <alignment horizontal="center" vertical="top"/>
    </xf>
    <xf numFmtId="0" fontId="14" fillId="0" borderId="0" xfId="1" applyAlignment="1">
      <alignment horizontal="center" vertical="top"/>
    </xf>
    <xf numFmtId="0" fontId="13" fillId="0" borderId="1" xfId="1" applyFont="1" applyBorder="1" applyAlignment="1">
      <alignment horizontal="center" vertical="top"/>
    </xf>
    <xf numFmtId="0" fontId="13" fillId="0" borderId="2" xfId="1" applyFont="1" applyBorder="1" applyAlignment="1">
      <alignment horizontal="center" vertical="top"/>
    </xf>
    <xf numFmtId="2" fontId="13" fillId="0" borderId="6" xfId="1" applyNumberFormat="1" applyFont="1" applyBorder="1" applyAlignment="1">
      <alignment horizontal="right" vertical="center"/>
    </xf>
    <xf numFmtId="0" fontId="13" fillId="0" borderId="3" xfId="1" applyFont="1" applyBorder="1" applyAlignment="1">
      <alignment horizontal="center" vertical="top"/>
    </xf>
    <xf numFmtId="0" fontId="13" fillId="0" borderId="5" xfId="1" applyFont="1" applyBorder="1" applyAlignment="1">
      <alignment vertical="top"/>
    </xf>
    <xf numFmtId="0" fontId="14" fillId="0" borderId="0" xfId="1" applyAlignment="1">
      <alignment horizontal="center" vertical="center"/>
    </xf>
    <xf numFmtId="2" fontId="13" fillId="0" borderId="23" xfId="1" applyNumberFormat="1" applyFont="1" applyBorder="1" applyAlignment="1">
      <alignment horizontal="center" vertical="top"/>
    </xf>
    <xf numFmtId="0" fontId="7" fillId="0" borderId="13" xfId="0" applyFont="1" applyBorder="1" applyAlignment="1">
      <alignment horizontal="left" vertical="center" wrapText="1"/>
    </xf>
    <xf numFmtId="0" fontId="7" fillId="0" borderId="13" xfId="0" applyFont="1" applyBorder="1" applyAlignment="1">
      <alignment horizontal="center" vertical="center" wrapText="1"/>
    </xf>
    <xf numFmtId="43" fontId="7" fillId="0" borderId="13" xfId="0" applyNumberFormat="1" applyFont="1" applyBorder="1" applyAlignment="1">
      <alignment horizontal="right" vertical="center" wrapText="1"/>
    </xf>
    <xf numFmtId="0" fontId="13" fillId="0" borderId="0" xfId="1" applyFont="1" applyAlignment="1">
      <alignment horizontal="left" vertical="center"/>
    </xf>
    <xf numFmtId="0" fontId="13" fillId="0" borderId="33" xfId="1" applyFont="1" applyBorder="1" applyAlignment="1">
      <alignment horizontal="left" vertical="top"/>
    </xf>
    <xf numFmtId="0" fontId="13" fillId="0" borderId="18" xfId="1" applyFont="1" applyBorder="1" applyAlignment="1">
      <alignment horizontal="right" vertical="top"/>
    </xf>
    <xf numFmtId="0" fontId="13" fillId="0" borderId="19" xfId="1" applyFont="1" applyBorder="1" applyAlignment="1">
      <alignment horizontal="center" vertical="top"/>
    </xf>
    <xf numFmtId="2" fontId="13" fillId="0" borderId="6" xfId="1" applyNumberFormat="1" applyFont="1" applyBorder="1" applyAlignment="1">
      <alignment vertical="top"/>
    </xf>
    <xf numFmtId="2" fontId="4" fillId="0" borderId="6" xfId="1" applyNumberFormat="1" applyFont="1" applyBorder="1" applyAlignment="1">
      <alignment vertical="top"/>
    </xf>
    <xf numFmtId="2" fontId="11" fillId="0" borderId="6" xfId="1" applyNumberFormat="1" applyFont="1" applyBorder="1" applyAlignment="1">
      <alignment horizontal="right" vertical="center"/>
    </xf>
    <xf numFmtId="0" fontId="13" fillId="0" borderId="24" xfId="1" applyFont="1" applyBorder="1" applyAlignment="1">
      <alignment horizontal="center" vertical="top"/>
    </xf>
    <xf numFmtId="0" fontId="13" fillId="0" borderId="26" xfId="1" applyFont="1" applyBorder="1" applyAlignment="1">
      <alignment horizontal="left" vertical="top"/>
    </xf>
    <xf numFmtId="4" fontId="7" fillId="0" borderId="13" xfId="0" applyNumberFormat="1" applyFont="1" applyBorder="1" applyAlignment="1">
      <alignment horizontal="right" vertical="center" wrapText="1"/>
    </xf>
    <xf numFmtId="1" fontId="11" fillId="2" borderId="11" xfId="1" applyNumberFormat="1" applyFont="1" applyFill="1" applyBorder="1" applyAlignment="1">
      <alignment horizontal="center" vertical="center" shrinkToFit="1"/>
    </xf>
    <xf numFmtId="2" fontId="7" fillId="0" borderId="6" xfId="1" applyNumberFormat="1" applyFont="1" applyBorder="1" applyAlignment="1">
      <alignment vertical="top"/>
    </xf>
    <xf numFmtId="0" fontId="19" fillId="0" borderId="0" xfId="0" applyFont="1" applyAlignment="1">
      <alignment horizontal="right" vertical="center"/>
    </xf>
    <xf numFmtId="0" fontId="20" fillId="0" borderId="0" xfId="1" applyFont="1" applyAlignment="1">
      <alignment horizontal="left" vertical="center"/>
    </xf>
    <xf numFmtId="2" fontId="4" fillId="0" borderId="6" xfId="1" applyNumberFormat="1" applyFont="1" applyBorder="1" applyAlignment="1">
      <alignment vertical="center"/>
    </xf>
    <xf numFmtId="2" fontId="13" fillId="0" borderId="34" xfId="1" applyNumberFormat="1" applyFont="1" applyBorder="1" applyAlignment="1">
      <alignment horizontal="right" vertical="center"/>
    </xf>
    <xf numFmtId="0" fontId="13" fillId="0" borderId="5" xfId="1" applyFont="1" applyBorder="1" applyAlignment="1">
      <alignment horizontal="right" vertical="center" wrapText="1"/>
    </xf>
    <xf numFmtId="0" fontId="13" fillId="0" borderId="35" xfId="1" applyFont="1" applyBorder="1" applyAlignment="1">
      <alignment horizontal="left" vertical="center"/>
    </xf>
    <xf numFmtId="2" fontId="13" fillId="0" borderId="34" xfId="1" applyNumberFormat="1" applyFont="1" applyBorder="1" applyAlignment="1">
      <alignment horizontal="right" vertical="top"/>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13" fillId="0" borderId="24" xfId="1" applyFont="1" applyBorder="1" applyAlignment="1">
      <alignment horizontal="right" vertical="top"/>
    </xf>
    <xf numFmtId="0" fontId="13" fillId="0" borderId="25" xfId="1" applyFont="1" applyBorder="1" applyAlignment="1">
      <alignment horizontal="right" vertical="top"/>
    </xf>
    <xf numFmtId="0" fontId="13" fillId="0" borderId="26" xfId="1" applyFont="1" applyBorder="1" applyAlignment="1">
      <alignment horizontal="center" vertical="top"/>
    </xf>
    <xf numFmtId="0" fontId="13" fillId="0" borderId="8" xfId="1" applyFont="1" applyBorder="1" applyAlignment="1">
      <alignment vertical="top"/>
    </xf>
    <xf numFmtId="2" fontId="13" fillId="0" borderId="9" xfId="1" applyNumberFormat="1" applyFont="1" applyBorder="1" applyAlignment="1">
      <alignment vertical="top"/>
    </xf>
    <xf numFmtId="0" fontId="13" fillId="0" borderId="5" xfId="1" applyFont="1" applyBorder="1" applyAlignment="1">
      <alignment horizontal="center" vertical="center" wrapText="1"/>
    </xf>
    <xf numFmtId="0" fontId="13" fillId="0" borderId="32" xfId="1" applyFont="1" applyBorder="1" applyAlignment="1">
      <alignment horizontal="left" vertical="top"/>
    </xf>
    <xf numFmtId="0" fontId="13" fillId="0" borderId="23" xfId="1" applyFont="1" applyBorder="1" applyAlignment="1">
      <alignment horizontal="left" vertical="top"/>
    </xf>
    <xf numFmtId="2" fontId="13" fillId="0" borderId="5" xfId="1" applyNumberFormat="1" applyFont="1" applyBorder="1" applyAlignment="1">
      <alignment horizontal="right" vertical="center" wrapText="1"/>
    </xf>
    <xf numFmtId="0" fontId="13" fillId="0" borderId="5" xfId="1" applyFont="1" applyBorder="1" applyAlignment="1">
      <alignment horizontal="left" vertical="center"/>
    </xf>
    <xf numFmtId="43" fontId="13" fillId="0" borderId="6" xfId="1" applyNumberFormat="1" applyFont="1" applyBorder="1" applyAlignment="1">
      <alignment vertical="top"/>
    </xf>
    <xf numFmtId="43" fontId="4" fillId="0" borderId="6" xfId="1" applyNumberFormat="1" applyFont="1" applyBorder="1" applyAlignment="1">
      <alignment vertical="top"/>
    </xf>
    <xf numFmtId="0" fontId="13" fillId="0" borderId="0" xfId="1" applyFont="1" applyAlignment="1">
      <alignment horizontal="right" vertical="top"/>
    </xf>
    <xf numFmtId="2" fontId="12" fillId="0" borderId="6" xfId="1" applyNumberFormat="1" applyFont="1" applyBorder="1" applyAlignment="1">
      <alignment vertical="center"/>
    </xf>
    <xf numFmtId="2" fontId="12" fillId="0" borderId="6" xfId="1" applyNumberFormat="1" applyFont="1" applyBorder="1" applyAlignment="1">
      <alignment vertical="top"/>
    </xf>
    <xf numFmtId="43" fontId="13" fillId="0" borderId="3" xfId="1" applyNumberFormat="1" applyFont="1" applyBorder="1" applyAlignment="1">
      <alignment horizontal="right" vertical="top" wrapText="1"/>
    </xf>
    <xf numFmtId="2" fontId="13" fillId="0" borderId="5" xfId="1" applyNumberFormat="1" applyFont="1" applyBorder="1" applyAlignment="1">
      <alignment vertical="top"/>
    </xf>
    <xf numFmtId="2" fontId="12" fillId="0" borderId="6" xfId="1" applyNumberFormat="1" applyFont="1" applyBorder="1" applyAlignment="1">
      <alignment horizontal="right" vertical="center"/>
    </xf>
    <xf numFmtId="2" fontId="4" fillId="0" borderId="6" xfId="1" applyNumberFormat="1" applyFont="1" applyBorder="1" applyAlignment="1">
      <alignment horizontal="right" vertical="center"/>
    </xf>
    <xf numFmtId="2" fontId="7" fillId="0" borderId="6" xfId="1" applyNumberFormat="1" applyFont="1" applyBorder="1" applyAlignment="1">
      <alignment horizontal="right" vertical="center"/>
    </xf>
    <xf numFmtId="0" fontId="13" fillId="0" borderId="25" xfId="1" applyFont="1" applyBorder="1" applyAlignment="1">
      <alignment vertical="top"/>
    </xf>
    <xf numFmtId="2" fontId="13" fillId="0" borderId="26" xfId="1" applyNumberFormat="1" applyFont="1" applyBorder="1" applyAlignment="1">
      <alignment vertical="top"/>
    </xf>
    <xf numFmtId="0" fontId="17" fillId="4" borderId="29" xfId="0" applyFont="1" applyFill="1" applyBorder="1" applyAlignment="1">
      <alignment horizontal="center" vertical="center" wrapText="1"/>
    </xf>
    <xf numFmtId="10" fontId="12" fillId="5" borderId="41" xfId="0" applyNumberFormat="1" applyFont="1" applyFill="1" applyBorder="1" applyAlignment="1">
      <alignment horizontal="right" vertical="center" wrapText="1"/>
    </xf>
    <xf numFmtId="10" fontId="11" fillId="5" borderId="41" xfId="0" applyNumberFormat="1" applyFont="1" applyFill="1" applyBorder="1" applyAlignment="1">
      <alignment horizontal="right" vertical="center" wrapText="1"/>
    </xf>
    <xf numFmtId="0" fontId="11" fillId="5" borderId="42" xfId="0" applyFont="1" applyFill="1" applyBorder="1" applyAlignment="1">
      <alignment horizontal="left" vertical="center" wrapText="1"/>
    </xf>
    <xf numFmtId="43" fontId="11" fillId="5" borderId="43" xfId="0" applyNumberFormat="1" applyFont="1" applyFill="1" applyBorder="1" applyAlignment="1">
      <alignment horizontal="right" vertical="center" wrapText="1"/>
    </xf>
    <xf numFmtId="0" fontId="13" fillId="0" borderId="44" xfId="0" applyFont="1" applyBorder="1" applyAlignment="1">
      <alignment horizontal="left" vertical="center" wrapText="1"/>
    </xf>
    <xf numFmtId="43" fontId="13" fillId="0" borderId="45" xfId="0" applyNumberFormat="1" applyFont="1" applyBorder="1" applyAlignment="1">
      <alignment horizontal="right" vertical="center" wrapText="1"/>
    </xf>
    <xf numFmtId="0" fontId="11" fillId="5" borderId="44" xfId="0" applyFont="1" applyFill="1" applyBorder="1" applyAlignment="1">
      <alignment horizontal="left" vertical="center" wrapText="1"/>
    </xf>
    <xf numFmtId="43" fontId="11" fillId="5" borderId="45" xfId="0" applyNumberFormat="1" applyFont="1" applyFill="1" applyBorder="1" applyAlignment="1">
      <alignment horizontal="right" vertical="center" wrapText="1"/>
    </xf>
    <xf numFmtId="0" fontId="7" fillId="0" borderId="44" xfId="0" applyFont="1" applyBorder="1" applyAlignment="1">
      <alignment horizontal="left" vertical="center" wrapText="1"/>
    </xf>
    <xf numFmtId="0" fontId="13" fillId="0" borderId="46" xfId="0" applyFont="1" applyBorder="1" applyAlignment="1">
      <alignment horizontal="left" vertical="center" wrapText="1"/>
    </xf>
    <xf numFmtId="43" fontId="13" fillId="0" borderId="47" xfId="0" applyNumberFormat="1" applyFont="1" applyBorder="1" applyAlignment="1">
      <alignment horizontal="right" vertical="center" wrapText="1"/>
    </xf>
    <xf numFmtId="0" fontId="13" fillId="0" borderId="4" xfId="1" applyFont="1" applyBorder="1" applyAlignment="1">
      <alignment horizontal="left" vertical="center"/>
    </xf>
    <xf numFmtId="2" fontId="13" fillId="0" borderId="34" xfId="1" applyNumberFormat="1" applyFont="1" applyBorder="1" applyAlignment="1">
      <alignment horizontal="center" vertical="center"/>
    </xf>
    <xf numFmtId="2" fontId="13" fillId="0" borderId="5" xfId="1" quotePrefix="1" applyNumberFormat="1" applyFont="1" applyBorder="1" applyAlignment="1">
      <alignment horizontal="right" vertical="center" wrapText="1"/>
    </xf>
    <xf numFmtId="0" fontId="13" fillId="0" borderId="4" xfId="1" applyFont="1" applyBorder="1" applyAlignment="1">
      <alignment vertical="center"/>
    </xf>
    <xf numFmtId="0" fontId="13" fillId="0" borderId="4" xfId="1" applyFont="1" applyBorder="1" applyAlignment="1">
      <alignment horizontal="right" vertical="center"/>
    </xf>
    <xf numFmtId="0" fontId="13" fillId="0" borderId="5" xfId="1" applyFont="1" applyBorder="1" applyAlignment="1">
      <alignment horizontal="right" vertical="center"/>
    </xf>
    <xf numFmtId="0" fontId="13" fillId="0" borderId="31" xfId="1" applyFont="1" applyBorder="1" applyAlignment="1">
      <alignment horizontal="left" vertical="center"/>
    </xf>
    <xf numFmtId="0" fontId="13" fillId="0" borderId="18" xfId="1" applyFont="1" applyBorder="1" applyAlignment="1">
      <alignment horizontal="left" vertical="center" wrapText="1"/>
    </xf>
    <xf numFmtId="2" fontId="13" fillId="0" borderId="6" xfId="1" applyNumberFormat="1" applyFont="1" applyBorder="1" applyAlignment="1">
      <alignment horizontal="center" vertical="center"/>
    </xf>
    <xf numFmtId="0" fontId="13" fillId="0" borderId="31" xfId="1" applyFont="1" applyBorder="1" applyAlignment="1">
      <alignment vertical="center"/>
    </xf>
    <xf numFmtId="1" fontId="11" fillId="9" borderId="11" xfId="1" applyNumberFormat="1" applyFont="1" applyFill="1" applyBorder="1" applyAlignment="1">
      <alignment horizontal="center" vertical="center" shrinkToFit="1"/>
    </xf>
    <xf numFmtId="2" fontId="12" fillId="0" borderId="26" xfId="1" applyNumberFormat="1" applyFont="1" applyBorder="1" applyAlignment="1">
      <alignment horizontal="right" vertical="top"/>
    </xf>
    <xf numFmtId="2" fontId="13" fillId="0" borderId="3" xfId="1" applyNumberFormat="1" applyFont="1" applyBorder="1" applyAlignment="1">
      <alignment horizontal="center" vertical="top" wrapText="1"/>
    </xf>
    <xf numFmtId="0" fontId="11" fillId="0" borderId="4" xfId="1" applyFont="1" applyBorder="1" applyAlignment="1">
      <alignment horizontal="left" vertical="top"/>
    </xf>
    <xf numFmtId="0" fontId="13" fillId="0" borderId="5" xfId="1" applyFont="1" applyBorder="1" applyAlignment="1">
      <alignment horizontal="left" vertical="top"/>
    </xf>
    <xf numFmtId="0" fontId="13" fillId="0" borderId="4" xfId="1" applyFont="1" applyBorder="1" applyAlignment="1">
      <alignment horizontal="left" vertical="top"/>
    </xf>
    <xf numFmtId="2" fontId="13" fillId="0" borderId="5" xfId="1" applyNumberFormat="1" applyFont="1" applyBorder="1" applyAlignment="1">
      <alignment vertical="center"/>
    </xf>
    <xf numFmtId="2" fontId="13" fillId="0" borderId="6" xfId="1" applyNumberFormat="1" applyFont="1" applyBorder="1" applyAlignment="1">
      <alignment vertical="center"/>
    </xf>
    <xf numFmtId="0" fontId="21" fillId="0" borderId="0" xfId="1" applyFont="1" applyAlignment="1">
      <alignment horizontal="left" vertical="center"/>
    </xf>
    <xf numFmtId="0" fontId="13" fillId="0" borderId="31" xfId="1" applyFont="1" applyBorder="1" applyAlignment="1">
      <alignment horizontal="left" vertical="center" wrapText="1"/>
    </xf>
    <xf numFmtId="2" fontId="13" fillId="0" borderId="5" xfId="1" applyNumberFormat="1" applyFont="1" applyBorder="1" applyAlignment="1">
      <alignment horizontal="center" vertical="top"/>
    </xf>
    <xf numFmtId="2" fontId="13" fillId="0" borderId="5" xfId="1" applyNumberFormat="1" applyFont="1" applyBorder="1" applyAlignment="1">
      <alignment horizontal="center" vertical="center"/>
    </xf>
    <xf numFmtId="0" fontId="4" fillId="0" borderId="1" xfId="0" applyFont="1" applyBorder="1" applyAlignment="1">
      <alignment horizontal="left"/>
    </xf>
    <xf numFmtId="0" fontId="7" fillId="0" borderId="2"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7" fillId="0" borderId="4" xfId="0" applyFont="1" applyBorder="1"/>
    <xf numFmtId="0" fontId="0" fillId="0" borderId="5" xfId="0" applyBorder="1"/>
    <xf numFmtId="2" fontId="0" fillId="0" borderId="5" xfId="0" applyNumberFormat="1" applyBorder="1"/>
    <xf numFmtId="2" fontId="0" fillId="0" borderId="6" xfId="0" applyNumberFormat="1" applyBorder="1"/>
    <xf numFmtId="2" fontId="13" fillId="0" borderId="5" xfId="1" applyNumberFormat="1" applyFont="1" applyBorder="1" applyAlignment="1">
      <alignment horizontal="right" vertical="center"/>
    </xf>
    <xf numFmtId="2" fontId="13" fillId="0" borderId="23" xfId="1" applyNumberFormat="1" applyFont="1" applyBorder="1" applyAlignment="1">
      <alignment horizontal="right" vertical="center"/>
    </xf>
    <xf numFmtId="0" fontId="13" fillId="0" borderId="31" xfId="1" applyFont="1" applyBorder="1" applyAlignment="1">
      <alignment vertical="center" wrapText="1"/>
    </xf>
    <xf numFmtId="0" fontId="13" fillId="0" borderId="4" xfId="1" applyFont="1" applyBorder="1" applyAlignment="1">
      <alignment vertical="center" wrapText="1"/>
    </xf>
    <xf numFmtId="0" fontId="13" fillId="0" borderId="49" xfId="1" applyFont="1" applyBorder="1" applyAlignment="1">
      <alignment horizontal="left" vertical="top"/>
    </xf>
    <xf numFmtId="0" fontId="13" fillId="0" borderId="50" xfId="1" applyFont="1" applyBorder="1" applyAlignment="1">
      <alignment horizontal="left" vertical="top"/>
    </xf>
    <xf numFmtId="0" fontId="13" fillId="0" borderId="39" xfId="1" applyFont="1" applyBorder="1" applyAlignment="1">
      <alignment horizontal="center" vertical="center"/>
    </xf>
    <xf numFmtId="2" fontId="13" fillId="0" borderId="0" xfId="1" applyNumberFormat="1" applyFont="1" applyAlignment="1">
      <alignment horizontal="center" vertical="top"/>
    </xf>
    <xf numFmtId="2" fontId="13" fillId="0" borderId="39" xfId="1" applyNumberFormat="1" applyFont="1" applyBorder="1" applyAlignment="1">
      <alignment horizontal="center" vertical="center"/>
    </xf>
    <xf numFmtId="0" fontId="13" fillId="0" borderId="2" xfId="1" applyFont="1" applyBorder="1" applyAlignment="1">
      <alignment vertical="top"/>
    </xf>
    <xf numFmtId="2" fontId="13" fillId="0" borderId="39" xfId="1" applyNumberFormat="1" applyFont="1" applyBorder="1" applyAlignment="1">
      <alignment vertical="center"/>
    </xf>
    <xf numFmtId="2" fontId="13" fillId="0" borderId="39" xfId="1" applyNumberFormat="1" applyFont="1" applyBorder="1" applyAlignment="1">
      <alignment vertical="top"/>
    </xf>
    <xf numFmtId="2" fontId="13" fillId="0" borderId="51" xfId="1" applyNumberFormat="1" applyFont="1" applyBorder="1" applyAlignment="1">
      <alignment horizontal="center" vertical="center"/>
    </xf>
    <xf numFmtId="0" fontId="13" fillId="0" borderId="5" xfId="1" applyFont="1" applyBorder="1" applyAlignment="1">
      <alignment horizontal="center" vertical="center"/>
    </xf>
    <xf numFmtId="0" fontId="4" fillId="0" borderId="7" xfId="1" applyFont="1" applyBorder="1" applyAlignment="1">
      <alignment horizontal="right" vertical="top"/>
    </xf>
    <xf numFmtId="0" fontId="4" fillId="0" borderId="8" xfId="1" applyFont="1" applyBorder="1" applyAlignment="1">
      <alignment horizontal="right" vertical="top"/>
    </xf>
    <xf numFmtId="2" fontId="11" fillId="0" borderId="9" xfId="1" applyNumberFormat="1" applyFont="1" applyBorder="1" applyAlignment="1">
      <alignment horizontal="right" vertical="center"/>
    </xf>
    <xf numFmtId="2" fontId="13" fillId="0" borderId="23" xfId="1" applyNumberFormat="1" applyFont="1" applyBorder="1" applyAlignment="1">
      <alignment horizontal="center" vertical="center"/>
    </xf>
    <xf numFmtId="2" fontId="7" fillId="0" borderId="6" xfId="1" applyNumberFormat="1" applyFont="1" applyBorder="1" applyAlignment="1">
      <alignment vertical="center"/>
    </xf>
    <xf numFmtId="0" fontId="13" fillId="0" borderId="5" xfId="1" applyFont="1" applyBorder="1" applyAlignment="1">
      <alignment vertical="center" wrapText="1"/>
    </xf>
    <xf numFmtId="2" fontId="13" fillId="0" borderId="5" xfId="1" applyNumberFormat="1" applyFont="1" applyBorder="1" applyAlignment="1">
      <alignment vertical="center" wrapText="1"/>
    </xf>
    <xf numFmtId="0" fontId="13" fillId="0" borderId="40" xfId="1" applyFont="1" applyBorder="1" applyAlignment="1">
      <alignment horizontal="left" vertical="center" wrapText="1"/>
    </xf>
    <xf numFmtId="2" fontId="13" fillId="0" borderId="6" xfId="1" applyNumberFormat="1" applyFont="1" applyBorder="1" applyAlignment="1">
      <alignment horizontal="right" vertical="top"/>
    </xf>
    <xf numFmtId="0" fontId="13" fillId="0" borderId="39" xfId="1" applyFont="1" applyBorder="1" applyAlignment="1">
      <alignment horizontal="left" vertical="center"/>
    </xf>
    <xf numFmtId="0" fontId="13" fillId="0" borderId="39" xfId="1" applyFont="1" applyBorder="1" applyAlignment="1">
      <alignment vertical="center"/>
    </xf>
    <xf numFmtId="1" fontId="11" fillId="8" borderId="11" xfId="1" applyNumberFormat="1" applyFont="1" applyFill="1" applyBorder="1" applyAlignment="1">
      <alignment horizontal="center" vertical="center" wrapText="1" shrinkToFit="1"/>
    </xf>
    <xf numFmtId="0" fontId="11" fillId="10" borderId="11" xfId="1" applyFont="1" applyFill="1" applyBorder="1" applyAlignment="1">
      <alignment horizontal="center" vertical="center"/>
    </xf>
    <xf numFmtId="2" fontId="13" fillId="0" borderId="17" xfId="1" applyNumberFormat="1" applyFont="1" applyBorder="1" applyAlignment="1">
      <alignment vertical="top" wrapText="1"/>
    </xf>
    <xf numFmtId="2" fontId="13" fillId="0" borderId="6" xfId="1" applyNumberFormat="1" applyFont="1" applyBorder="1" applyAlignment="1">
      <alignment vertical="top" wrapText="1"/>
    </xf>
    <xf numFmtId="0" fontId="13" fillId="0" borderId="40" xfId="1" applyFont="1" applyBorder="1" applyAlignment="1">
      <alignment horizontal="left" vertical="center"/>
    </xf>
    <xf numFmtId="2" fontId="13" fillId="0" borderId="6" xfId="1" applyNumberFormat="1" applyFont="1" applyBorder="1" applyAlignment="1">
      <alignment horizontal="center" vertical="top"/>
    </xf>
    <xf numFmtId="0" fontId="4" fillId="4" borderId="11" xfId="0" applyFont="1" applyFill="1" applyBorder="1" applyAlignment="1">
      <alignment horizontal="right" vertical="center" wrapText="1"/>
    </xf>
    <xf numFmtId="0" fontId="4" fillId="4" borderId="0" xfId="0" applyFont="1" applyFill="1" applyAlignment="1">
      <alignment horizontal="left" vertical="center" wrapText="1"/>
    </xf>
    <xf numFmtId="0" fontId="4" fillId="4" borderId="0" xfId="0" applyFont="1" applyFill="1" applyAlignment="1">
      <alignment horizontal="right" vertical="center" wrapText="1"/>
    </xf>
    <xf numFmtId="4" fontId="4" fillId="4" borderId="0" xfId="0" applyNumberFormat="1" applyFont="1" applyFill="1" applyAlignment="1">
      <alignment horizontal="right" vertical="center" wrapText="1"/>
    </xf>
    <xf numFmtId="4" fontId="7" fillId="4" borderId="0" xfId="0" applyNumberFormat="1" applyFont="1" applyFill="1" applyAlignment="1">
      <alignment horizontal="right" vertical="center" wrapText="1"/>
    </xf>
    <xf numFmtId="0" fontId="2" fillId="0" borderId="0" xfId="0" applyFont="1" applyAlignment="1">
      <alignment horizontal="right"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9" fillId="2" borderId="10" xfId="0" applyFont="1" applyFill="1" applyBorder="1" applyAlignment="1">
      <alignment horizontal="center" vertical="center"/>
    </xf>
    <xf numFmtId="0" fontId="10" fillId="3" borderId="1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11" xfId="0" applyFont="1" applyBorder="1" applyAlignment="1">
      <alignment horizontal="center" vertical="center"/>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44" fontId="6" fillId="0" borderId="5" xfId="0" applyNumberFormat="1" applyFont="1" applyBorder="1" applyAlignment="1">
      <alignment horizontal="center" vertical="center"/>
    </xf>
    <xf numFmtId="0" fontId="8"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4" fontId="6" fillId="0" borderId="8" xfId="0" applyNumberFormat="1" applyFont="1" applyBorder="1" applyAlignment="1">
      <alignment horizontal="center" vertical="center"/>
    </xf>
    <xf numFmtId="0" fontId="2" fillId="0" borderId="0" xfId="0" applyFont="1" applyAlignment="1">
      <alignment horizont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44" fontId="6" fillId="0" borderId="2" xfId="0" applyNumberFormat="1" applyFont="1" applyBorder="1" applyAlignment="1">
      <alignment horizontal="center" vertical="center"/>
    </xf>
    <xf numFmtId="0" fontId="13" fillId="0" borderId="4" xfId="1" applyFont="1" applyBorder="1" applyAlignment="1">
      <alignment horizontal="right" vertical="center" wrapText="1"/>
    </xf>
    <xf numFmtId="0" fontId="13" fillId="0" borderId="5" xfId="1" applyFont="1" applyBorder="1" applyAlignment="1">
      <alignment horizontal="right" vertical="center" wrapText="1"/>
    </xf>
    <xf numFmtId="0" fontId="4" fillId="0" borderId="4" xfId="1" applyFont="1" applyBorder="1" applyAlignment="1">
      <alignment horizontal="right" vertical="center" wrapText="1"/>
    </xf>
    <xf numFmtId="0" fontId="4" fillId="0" borderId="5" xfId="1" applyFont="1" applyBorder="1" applyAlignment="1">
      <alignment horizontal="right" vertical="center" wrapText="1"/>
    </xf>
    <xf numFmtId="0" fontId="4" fillId="8" borderId="11" xfId="1" applyFont="1" applyFill="1" applyBorder="1" applyAlignment="1">
      <alignment horizontal="left" vertical="center" wrapText="1"/>
    </xf>
    <xf numFmtId="0" fontId="13" fillId="0" borderId="4" xfId="1" applyFont="1" applyBorder="1" applyAlignment="1">
      <alignment horizontal="right" vertical="top"/>
    </xf>
    <xf numFmtId="0" fontId="13" fillId="0" borderId="5" xfId="1" applyFont="1" applyBorder="1" applyAlignment="1">
      <alignment horizontal="right" vertical="top"/>
    </xf>
    <xf numFmtId="0" fontId="7" fillId="0" borderId="4" xfId="1" applyFont="1" applyBorder="1" applyAlignment="1">
      <alignment horizontal="right" vertical="top"/>
    </xf>
    <xf numFmtId="0" fontId="7" fillId="0" borderId="5" xfId="1" applyFont="1" applyBorder="1" applyAlignment="1">
      <alignment horizontal="right" vertical="top"/>
    </xf>
    <xf numFmtId="0" fontId="4" fillId="0" borderId="4" xfId="1" applyFont="1" applyBorder="1" applyAlignment="1">
      <alignment horizontal="right" vertical="top"/>
    </xf>
    <xf numFmtId="0" fontId="4" fillId="0" borderId="5" xfId="1" applyFont="1" applyBorder="1" applyAlignment="1">
      <alignment horizontal="right" vertical="top"/>
    </xf>
    <xf numFmtId="0" fontId="11" fillId="7" borderId="11" xfId="1" applyFont="1" applyFill="1" applyBorder="1" applyAlignment="1">
      <alignment horizontal="left" vertical="center"/>
    </xf>
    <xf numFmtId="0" fontId="13" fillId="0" borderId="1" xfId="1" applyFont="1" applyBorder="1" applyAlignment="1">
      <alignment horizontal="right" vertical="top"/>
    </xf>
    <xf numFmtId="0" fontId="13" fillId="0" borderId="2" xfId="1" applyFont="1" applyBorder="1" applyAlignment="1">
      <alignment horizontal="right" vertical="top"/>
    </xf>
    <xf numFmtId="0" fontId="4" fillId="2" borderId="11" xfId="1" applyFont="1" applyFill="1" applyBorder="1" applyAlignment="1">
      <alignment horizontal="left" vertical="center" wrapText="1"/>
    </xf>
    <xf numFmtId="0" fontId="4" fillId="8" borderId="27" xfId="1" applyFont="1" applyFill="1" applyBorder="1" applyAlignment="1">
      <alignment horizontal="left" vertical="center" wrapText="1"/>
    </xf>
    <xf numFmtId="0" fontId="4" fillId="8" borderId="28" xfId="1" applyFont="1" applyFill="1" applyBorder="1" applyAlignment="1">
      <alignment horizontal="left" vertical="center" wrapText="1"/>
    </xf>
    <xf numFmtId="0" fontId="4" fillId="8" borderId="29" xfId="1" applyFont="1" applyFill="1" applyBorder="1" applyAlignment="1">
      <alignment horizontal="left" vertical="center" wrapText="1"/>
    </xf>
    <xf numFmtId="0" fontId="13" fillId="0" borderId="7" xfId="1" applyFont="1" applyBorder="1" applyAlignment="1">
      <alignment horizontal="center" vertical="top"/>
    </xf>
    <xf numFmtId="0" fontId="13" fillId="0" borderId="8" xfId="1" applyFont="1" applyBorder="1" applyAlignment="1">
      <alignment horizontal="center" vertical="top"/>
    </xf>
    <xf numFmtId="0" fontId="4" fillId="9" borderId="27" xfId="1" applyFont="1" applyFill="1" applyBorder="1" applyAlignment="1">
      <alignment horizontal="left" vertical="center" wrapText="1"/>
    </xf>
    <xf numFmtId="0" fontId="4" fillId="9" borderId="28" xfId="1" applyFont="1" applyFill="1" applyBorder="1" applyAlignment="1">
      <alignment horizontal="left" vertical="center" wrapText="1"/>
    </xf>
    <xf numFmtId="0" fontId="4" fillId="9" borderId="29" xfId="1" applyFont="1" applyFill="1" applyBorder="1" applyAlignment="1">
      <alignment horizontal="left" vertical="center" wrapText="1"/>
    </xf>
    <xf numFmtId="0" fontId="12" fillId="0" borderId="4" xfId="1" applyFont="1" applyBorder="1" applyAlignment="1">
      <alignment horizontal="right" vertical="top"/>
    </xf>
    <xf numFmtId="0" fontId="12" fillId="0" borderId="5" xfId="1" applyFont="1" applyBorder="1" applyAlignment="1">
      <alignment horizontal="right" vertical="top"/>
    </xf>
    <xf numFmtId="0" fontId="7" fillId="0" borderId="30" xfId="1" applyFont="1" applyBorder="1" applyAlignment="1">
      <alignment horizontal="right" vertical="top"/>
    </xf>
    <xf numFmtId="0" fontId="4" fillId="0" borderId="30" xfId="1" applyFont="1" applyBorder="1" applyAlignment="1">
      <alignment horizontal="right" vertical="top"/>
    </xf>
    <xf numFmtId="0" fontId="12" fillId="0" borderId="30" xfId="1" applyFont="1" applyBorder="1" applyAlignment="1">
      <alignment horizontal="right" vertical="top"/>
    </xf>
    <xf numFmtId="0" fontId="13" fillId="0" borderId="30" xfId="1" applyFont="1" applyBorder="1" applyAlignment="1">
      <alignment horizontal="right" vertical="top"/>
    </xf>
    <xf numFmtId="0" fontId="13" fillId="0" borderId="4" xfId="1" applyFont="1" applyBorder="1" applyAlignment="1">
      <alignment horizontal="right" vertical="top" wrapText="1"/>
    </xf>
    <xf numFmtId="0" fontId="13" fillId="0" borderId="5" xfId="1" applyFont="1" applyBorder="1" applyAlignment="1">
      <alignment horizontal="right" vertical="top" wrapText="1"/>
    </xf>
    <xf numFmtId="0" fontId="12" fillId="0" borderId="4" xfId="1" applyFont="1" applyBorder="1" applyAlignment="1">
      <alignment horizontal="right" vertical="center" wrapText="1"/>
    </xf>
    <xf numFmtId="0" fontId="12" fillId="0" borderId="5" xfId="1" applyFont="1" applyBorder="1" applyAlignment="1">
      <alignment horizontal="right" vertical="center" wrapText="1"/>
    </xf>
    <xf numFmtId="0" fontId="11" fillId="7" borderId="27" xfId="1" applyFont="1" applyFill="1" applyBorder="1" applyAlignment="1">
      <alignment horizontal="left" vertical="center"/>
    </xf>
    <xf numFmtId="0" fontId="11" fillId="7" borderId="28" xfId="1" applyFont="1" applyFill="1" applyBorder="1" applyAlignment="1">
      <alignment horizontal="left" vertical="center"/>
    </xf>
    <xf numFmtId="0" fontId="11" fillId="7" borderId="29" xfId="1" applyFont="1" applyFill="1" applyBorder="1" applyAlignment="1">
      <alignment horizontal="left" vertical="center"/>
    </xf>
    <xf numFmtId="0" fontId="13" fillId="0" borderId="4" xfId="1" applyFont="1" applyBorder="1" applyAlignment="1">
      <alignment horizontal="center" vertical="top"/>
    </xf>
    <xf numFmtId="0" fontId="13" fillId="0" borderId="5" xfId="1" applyFont="1" applyBorder="1" applyAlignment="1">
      <alignment horizontal="center" vertical="top"/>
    </xf>
    <xf numFmtId="0" fontId="16" fillId="6" borderId="20" xfId="1" applyFont="1" applyFill="1" applyBorder="1" applyAlignment="1">
      <alignment horizontal="center" vertical="center" wrapText="1"/>
    </xf>
    <xf numFmtId="0" fontId="16" fillId="6" borderId="21" xfId="1" applyFont="1" applyFill="1" applyBorder="1" applyAlignment="1">
      <alignment horizontal="center" vertical="center" wrapText="1"/>
    </xf>
    <xf numFmtId="0" fontId="16" fillId="6" borderId="22" xfId="1" applyFont="1" applyFill="1" applyBorder="1" applyAlignment="1">
      <alignment horizontal="center" vertical="center" wrapText="1"/>
    </xf>
    <xf numFmtId="0" fontId="12" fillId="0" borderId="7" xfId="1" applyFont="1" applyBorder="1" applyAlignment="1">
      <alignment horizontal="right" vertical="top"/>
    </xf>
    <xf numFmtId="0" fontId="12" fillId="0" borderId="8" xfId="1" applyFont="1" applyBorder="1" applyAlignment="1">
      <alignment horizontal="right" vertical="top"/>
    </xf>
    <xf numFmtId="0" fontId="13" fillId="0" borderId="1" xfId="1" applyFont="1" applyBorder="1" applyAlignment="1">
      <alignment horizontal="center" vertical="top"/>
    </xf>
    <xf numFmtId="0" fontId="13" fillId="0" borderId="2" xfId="1" applyFont="1" applyBorder="1" applyAlignment="1">
      <alignment horizontal="center" vertical="top"/>
    </xf>
    <xf numFmtId="0" fontId="13" fillId="0" borderId="4" xfId="1" applyFont="1" applyBorder="1" applyAlignment="1">
      <alignment horizontal="left" vertical="top"/>
    </xf>
    <xf numFmtId="0" fontId="13" fillId="0" borderId="5" xfId="1" applyFont="1" applyBorder="1" applyAlignment="1">
      <alignment horizontal="left" vertical="top"/>
    </xf>
    <xf numFmtId="0" fontId="7" fillId="0" borderId="4" xfId="1" applyFont="1" applyBorder="1" applyAlignment="1">
      <alignment horizontal="right" vertical="center" wrapText="1"/>
    </xf>
    <xf numFmtId="0" fontId="7" fillId="0" borderId="5" xfId="1" applyFont="1" applyBorder="1" applyAlignment="1">
      <alignment horizontal="right" vertical="center" wrapText="1"/>
    </xf>
    <xf numFmtId="2" fontId="13" fillId="0" borderId="5" xfId="1" applyNumberFormat="1" applyFont="1" applyBorder="1" applyAlignment="1">
      <alignment horizontal="center" vertical="top"/>
    </xf>
    <xf numFmtId="0" fontId="13" fillId="0" borderId="24" xfId="1" applyFont="1" applyBorder="1" applyAlignment="1">
      <alignment horizontal="center" vertical="top"/>
    </xf>
    <xf numFmtId="0" fontId="13" fillId="0" borderId="25" xfId="1" applyFont="1" applyBorder="1" applyAlignment="1">
      <alignment horizontal="center" vertical="top"/>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13" fillId="0" borderId="31" xfId="1" applyFont="1" applyBorder="1" applyAlignment="1">
      <alignment horizontal="left" vertical="center" wrapText="1"/>
    </xf>
    <xf numFmtId="0" fontId="13" fillId="0" borderId="39" xfId="1" applyFont="1" applyBorder="1" applyAlignment="1">
      <alignment horizontal="left" vertical="center" wrapText="1"/>
    </xf>
    <xf numFmtId="0" fontId="13" fillId="0" borderId="18" xfId="1" applyFont="1" applyBorder="1" applyAlignment="1">
      <alignment horizontal="left" vertical="center" wrapText="1"/>
    </xf>
    <xf numFmtId="0" fontId="13" fillId="0" borderId="0" xfId="1" applyFont="1" applyAlignment="1">
      <alignment horizontal="left" vertical="center" wrapText="1"/>
    </xf>
    <xf numFmtId="0" fontId="13" fillId="0" borderId="32" xfId="1" applyFont="1" applyBorder="1" applyAlignment="1">
      <alignment horizontal="left" vertical="center" wrapText="1"/>
    </xf>
    <xf numFmtId="0" fontId="13" fillId="0" borderId="23" xfId="1" applyFont="1" applyBorder="1" applyAlignment="1">
      <alignment horizontal="left" vertical="center" wrapText="1"/>
    </xf>
    <xf numFmtId="0" fontId="13" fillId="0" borderId="31" xfId="1" applyFont="1" applyBorder="1" applyAlignment="1">
      <alignment horizontal="left" vertical="center"/>
    </xf>
    <xf numFmtId="0" fontId="13" fillId="0" borderId="39" xfId="1" applyFont="1" applyBorder="1" applyAlignment="1">
      <alignment horizontal="left" vertical="center"/>
    </xf>
    <xf numFmtId="0" fontId="16" fillId="6" borderId="52" xfId="1" applyFont="1" applyFill="1" applyBorder="1" applyAlignment="1">
      <alignment horizontal="center" vertical="center" wrapText="1"/>
    </xf>
    <xf numFmtId="0" fontId="16" fillId="6" borderId="53" xfId="1" applyFont="1" applyFill="1" applyBorder="1" applyAlignment="1">
      <alignment horizontal="center" vertical="center" wrapText="1"/>
    </xf>
    <xf numFmtId="0" fontId="11" fillId="0" borderId="30" xfId="1" applyFont="1" applyBorder="1" applyAlignment="1">
      <alignment horizontal="right" vertical="top"/>
    </xf>
    <xf numFmtId="0" fontId="11" fillId="0" borderId="4" xfId="1" applyFont="1" applyBorder="1" applyAlignment="1">
      <alignment horizontal="right" vertical="top"/>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1" xfId="1" applyFont="1" applyBorder="1" applyAlignment="1">
      <alignment horizontal="right" vertical="top" wrapText="1"/>
    </xf>
    <xf numFmtId="0" fontId="13" fillId="0" borderId="2" xfId="1" applyFont="1" applyBorder="1" applyAlignment="1">
      <alignment horizontal="right" vertical="top" wrapText="1"/>
    </xf>
    <xf numFmtId="0" fontId="11" fillId="10" borderId="11" xfId="1" applyFont="1" applyFill="1" applyBorder="1" applyAlignment="1">
      <alignment horizontal="left" vertical="center"/>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1" xfId="1" applyFont="1" applyBorder="1" applyAlignment="1">
      <alignment horizontal="right" vertical="center" wrapText="1"/>
    </xf>
    <xf numFmtId="0" fontId="13" fillId="0" borderId="2" xfId="1" applyFont="1" applyBorder="1" applyAlignment="1">
      <alignment horizontal="right" vertical="center" wrapText="1"/>
    </xf>
    <xf numFmtId="0" fontId="4" fillId="9" borderId="11" xfId="1" applyFont="1" applyFill="1" applyBorder="1" applyAlignment="1">
      <alignment horizontal="left" vertical="center" wrapText="1"/>
    </xf>
    <xf numFmtId="0" fontId="13" fillId="0" borderId="36" xfId="1" applyFont="1" applyBorder="1" applyAlignment="1">
      <alignment horizontal="left" vertical="center" wrapText="1"/>
    </xf>
    <xf numFmtId="0" fontId="13" fillId="0" borderId="37" xfId="1" applyFont="1" applyBorder="1" applyAlignment="1">
      <alignment horizontal="left" vertical="center" wrapText="1"/>
    </xf>
    <xf numFmtId="0" fontId="13" fillId="0" borderId="38" xfId="1" applyFont="1" applyBorder="1" applyAlignment="1">
      <alignment horizontal="left" vertical="center" wrapText="1"/>
    </xf>
    <xf numFmtId="0" fontId="13" fillId="0" borderId="40" xfId="1" applyFont="1" applyBorder="1" applyAlignment="1">
      <alignment horizontal="left" vertical="center" wrapText="1"/>
    </xf>
    <xf numFmtId="0" fontId="4" fillId="0" borderId="40" xfId="1" applyFont="1" applyBorder="1" applyAlignment="1">
      <alignment horizontal="right" vertical="top"/>
    </xf>
    <xf numFmtId="0" fontId="4" fillId="0" borderId="48" xfId="1" applyFont="1" applyBorder="1" applyAlignment="1">
      <alignment horizontal="right" vertical="top"/>
    </xf>
    <xf numFmtId="0" fontId="4" fillId="0" borderId="35" xfId="1" applyFont="1" applyBorder="1" applyAlignment="1">
      <alignment horizontal="right" vertical="top"/>
    </xf>
    <xf numFmtId="0" fontId="13" fillId="0" borderId="40" xfId="1" applyFont="1" applyBorder="1" applyAlignment="1">
      <alignment horizontal="right" vertical="top"/>
    </xf>
    <xf numFmtId="0" fontId="13" fillId="0" borderId="48" xfId="1" applyFont="1" applyBorder="1" applyAlignment="1">
      <alignment horizontal="right" vertical="top"/>
    </xf>
    <xf numFmtId="0" fontId="13" fillId="0" borderId="35" xfId="1" applyFont="1" applyBorder="1" applyAlignment="1">
      <alignment horizontal="right" vertical="top"/>
    </xf>
    <xf numFmtId="0" fontId="7" fillId="0" borderId="40" xfId="1" applyFont="1" applyBorder="1" applyAlignment="1">
      <alignment horizontal="right" vertical="top"/>
    </xf>
    <xf numFmtId="0" fontId="7" fillId="0" borderId="48" xfId="1" applyFont="1" applyBorder="1" applyAlignment="1">
      <alignment horizontal="right" vertical="top"/>
    </xf>
    <xf numFmtId="0" fontId="7" fillId="0" borderId="35" xfId="1" applyFont="1" applyBorder="1" applyAlignment="1">
      <alignment horizontal="right" vertical="top"/>
    </xf>
    <xf numFmtId="0" fontId="12" fillId="0" borderId="40" xfId="1" applyFont="1" applyBorder="1" applyAlignment="1">
      <alignment horizontal="right" vertical="top"/>
    </xf>
    <xf numFmtId="0" fontId="12" fillId="0" borderId="48" xfId="1" applyFont="1" applyBorder="1" applyAlignment="1">
      <alignment horizontal="right" vertical="top"/>
    </xf>
    <xf numFmtId="0" fontId="12" fillId="0" borderId="35" xfId="1" applyFont="1" applyBorder="1" applyAlignment="1">
      <alignment horizontal="right" vertical="top"/>
    </xf>
    <xf numFmtId="2" fontId="13" fillId="0" borderId="5" xfId="1" applyNumberFormat="1" applyFont="1" applyBorder="1" applyAlignment="1">
      <alignment horizontal="center" vertical="center"/>
    </xf>
    <xf numFmtId="0" fontId="11" fillId="0" borderId="4" xfId="1" applyFont="1" applyBorder="1" applyAlignment="1">
      <alignment horizontal="left" vertical="top"/>
    </xf>
    <xf numFmtId="0" fontId="11" fillId="0" borderId="5" xfId="1" applyFont="1" applyBorder="1" applyAlignment="1">
      <alignment horizontal="left" vertical="top"/>
    </xf>
    <xf numFmtId="0" fontId="7" fillId="0" borderId="1" xfId="0" applyFont="1" applyBorder="1" applyAlignment="1">
      <alignment horizontal="center"/>
    </xf>
    <xf numFmtId="0" fontId="7" fillId="0" borderId="2" xfId="0" applyFont="1" applyBorder="1" applyAlignment="1">
      <alignment horizontal="center"/>
    </xf>
  </cellXfs>
  <cellStyles count="4">
    <cellStyle name="Normal" xfId="0" builtinId="0"/>
    <cellStyle name="Normal 2" xfId="1" xr:uid="{F912777C-20B8-46A7-8DBE-193F339877DC}"/>
    <cellStyle name="Normal 3" xfId="2" xr:uid="{022E6B72-AA1E-4FC1-A249-4D3A5EBB8755}"/>
    <cellStyle name="Vírgula 2" xfId="3" xr:uid="{EF567113-1E12-41AE-AD5C-2027FEDD6D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261938</xdr:colOff>
      <xdr:row>0</xdr:row>
      <xdr:rowOff>71438</xdr:rowOff>
    </xdr:from>
    <xdr:to>
      <xdr:col>1</xdr:col>
      <xdr:colOff>1488281</xdr:colOff>
      <xdr:row>1</xdr:row>
      <xdr:rowOff>900493</xdr:rowOff>
    </xdr:to>
    <xdr:pic>
      <xdr:nvPicPr>
        <xdr:cNvPr id="2" name="Imagem 1">
          <a:extLst>
            <a:ext uri="{FF2B5EF4-FFF2-40B4-BE49-F238E27FC236}">
              <a16:creationId xmlns:a16="http://schemas.microsoft.com/office/drawing/2014/main" id="{BDC3E057-DF37-4213-9DFB-136B491D7E95}"/>
            </a:ext>
          </a:extLst>
        </xdr:cNvPr>
        <xdr:cNvPicPr>
          <a:picLocks noChangeAspect="1"/>
        </xdr:cNvPicPr>
      </xdr:nvPicPr>
      <xdr:blipFill rotWithShape="1">
        <a:blip xmlns:r="http://schemas.openxmlformats.org/officeDocument/2006/relationships" r:embed="rId1"/>
        <a:srcRect l="5644" t="25413" r="78657" b="65488"/>
        <a:stretch/>
      </xdr:blipFill>
      <xdr:spPr bwMode="auto">
        <a:xfrm>
          <a:off x="261938" y="71438"/>
          <a:ext cx="2285999" cy="1019555"/>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571502</xdr:colOff>
      <xdr:row>4</xdr:row>
      <xdr:rowOff>52917</xdr:rowOff>
    </xdr:to>
    <xdr:pic>
      <xdr:nvPicPr>
        <xdr:cNvPr id="2" name="Picture 7">
          <a:extLst>
            <a:ext uri="{FF2B5EF4-FFF2-40B4-BE49-F238E27FC236}">
              <a16:creationId xmlns:a16="http://schemas.microsoft.com/office/drawing/2014/main" id="{72C8628F-DE8F-48B2-9A21-6B7AABB0B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71999"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225036</xdr:colOff>
      <xdr:row>1</xdr:row>
      <xdr:rowOff>27851</xdr:rowOff>
    </xdr:from>
    <xdr:to>
      <xdr:col>4</xdr:col>
      <xdr:colOff>582085</xdr:colOff>
      <xdr:row>4</xdr:row>
      <xdr:rowOff>137584</xdr:rowOff>
    </xdr:to>
    <xdr:pic>
      <xdr:nvPicPr>
        <xdr:cNvPr id="2" name="Picture 7">
          <a:extLst>
            <a:ext uri="{FF2B5EF4-FFF2-40B4-BE49-F238E27FC236}">
              <a16:creationId xmlns:a16="http://schemas.microsoft.com/office/drawing/2014/main" id="{3CA2A6F9-3C17-4141-988B-B3033AC4F1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036" y="189776"/>
          <a:ext cx="5671999" cy="595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225036</xdr:colOff>
      <xdr:row>1</xdr:row>
      <xdr:rowOff>27851</xdr:rowOff>
    </xdr:from>
    <xdr:to>
      <xdr:col>4</xdr:col>
      <xdr:colOff>582085</xdr:colOff>
      <xdr:row>4</xdr:row>
      <xdr:rowOff>137584</xdr:rowOff>
    </xdr:to>
    <xdr:pic>
      <xdr:nvPicPr>
        <xdr:cNvPr id="2" name="Picture 7">
          <a:extLst>
            <a:ext uri="{FF2B5EF4-FFF2-40B4-BE49-F238E27FC236}">
              <a16:creationId xmlns:a16="http://schemas.microsoft.com/office/drawing/2014/main" id="{8D40E5CA-D91B-4337-9A83-1D96650FB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036" y="189776"/>
          <a:ext cx="5671999" cy="595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444502</xdr:colOff>
      <xdr:row>4</xdr:row>
      <xdr:rowOff>52917</xdr:rowOff>
    </xdr:to>
    <xdr:pic>
      <xdr:nvPicPr>
        <xdr:cNvPr id="2" name="Picture 7">
          <a:extLst>
            <a:ext uri="{FF2B5EF4-FFF2-40B4-BE49-F238E27FC236}">
              <a16:creationId xmlns:a16="http://schemas.microsoft.com/office/drawing/2014/main" id="{2DBFB9AE-EF5F-405E-9037-382B584C80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68824"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3</xdr:col>
      <xdr:colOff>444500</xdr:colOff>
      <xdr:row>4</xdr:row>
      <xdr:rowOff>52917</xdr:rowOff>
    </xdr:to>
    <xdr:pic>
      <xdr:nvPicPr>
        <xdr:cNvPr id="2" name="Picture 7">
          <a:extLst>
            <a:ext uri="{FF2B5EF4-FFF2-40B4-BE49-F238E27FC236}">
              <a16:creationId xmlns:a16="http://schemas.microsoft.com/office/drawing/2014/main" id="{0BF1C67F-5325-4938-9AC0-4749B15A43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68822"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571502</xdr:colOff>
      <xdr:row>4</xdr:row>
      <xdr:rowOff>52917</xdr:rowOff>
    </xdr:to>
    <xdr:pic>
      <xdr:nvPicPr>
        <xdr:cNvPr id="2" name="Picture 7">
          <a:extLst>
            <a:ext uri="{FF2B5EF4-FFF2-40B4-BE49-F238E27FC236}">
              <a16:creationId xmlns:a16="http://schemas.microsoft.com/office/drawing/2014/main" id="{E74BF6C6-94AF-47DC-9784-4EAD9C1885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71999"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267369</xdr:colOff>
      <xdr:row>1</xdr:row>
      <xdr:rowOff>27850</xdr:rowOff>
    </xdr:from>
    <xdr:to>
      <xdr:col>4</xdr:col>
      <xdr:colOff>624418</xdr:colOff>
      <xdr:row>4</xdr:row>
      <xdr:rowOff>137583</xdr:rowOff>
    </xdr:to>
    <xdr:pic>
      <xdr:nvPicPr>
        <xdr:cNvPr id="2" name="Picture 7">
          <a:extLst>
            <a:ext uri="{FF2B5EF4-FFF2-40B4-BE49-F238E27FC236}">
              <a16:creationId xmlns:a16="http://schemas.microsoft.com/office/drawing/2014/main" id="{5A32B928-271A-439E-960F-89711CB7F0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7369" y="186600"/>
          <a:ext cx="5669882"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550333</xdr:colOff>
      <xdr:row>0</xdr:row>
      <xdr:rowOff>105833</xdr:rowOff>
    </xdr:from>
    <xdr:to>
      <xdr:col>4</xdr:col>
      <xdr:colOff>592665</xdr:colOff>
      <xdr:row>4</xdr:row>
      <xdr:rowOff>56816</xdr:rowOff>
    </xdr:to>
    <xdr:pic>
      <xdr:nvPicPr>
        <xdr:cNvPr id="2" name="Picture 7">
          <a:extLst>
            <a:ext uri="{FF2B5EF4-FFF2-40B4-BE49-F238E27FC236}">
              <a16:creationId xmlns:a16="http://schemas.microsoft.com/office/drawing/2014/main" id="{F157B833-1A2E-4EA3-B479-86AC42D1E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333" y="105833"/>
          <a:ext cx="5714999"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182703</xdr:colOff>
      <xdr:row>0</xdr:row>
      <xdr:rowOff>0</xdr:rowOff>
    </xdr:from>
    <xdr:to>
      <xdr:col>5</xdr:col>
      <xdr:colOff>338668</xdr:colOff>
      <xdr:row>3</xdr:row>
      <xdr:rowOff>109733</xdr:rowOff>
    </xdr:to>
    <xdr:pic>
      <xdr:nvPicPr>
        <xdr:cNvPr id="2" name="Picture 7">
          <a:extLst>
            <a:ext uri="{FF2B5EF4-FFF2-40B4-BE49-F238E27FC236}">
              <a16:creationId xmlns:a16="http://schemas.microsoft.com/office/drawing/2014/main" id="{D779E530-9D8B-4ABF-B077-2574DCA1A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703" y="0"/>
          <a:ext cx="5670940" cy="595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253999</xdr:colOff>
      <xdr:row>0</xdr:row>
      <xdr:rowOff>84667</xdr:rowOff>
    </xdr:from>
    <xdr:to>
      <xdr:col>4</xdr:col>
      <xdr:colOff>611048</xdr:colOff>
      <xdr:row>4</xdr:row>
      <xdr:rowOff>35650</xdr:rowOff>
    </xdr:to>
    <xdr:pic>
      <xdr:nvPicPr>
        <xdr:cNvPr id="2" name="Picture 7">
          <a:extLst>
            <a:ext uri="{FF2B5EF4-FFF2-40B4-BE49-F238E27FC236}">
              <a16:creationId xmlns:a16="http://schemas.microsoft.com/office/drawing/2014/main" id="{91D77BC9-515C-4F89-934D-B7BCAB6614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999" y="84667"/>
          <a:ext cx="5662474"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243417</xdr:colOff>
      <xdr:row>1</xdr:row>
      <xdr:rowOff>52916</xdr:rowOff>
    </xdr:from>
    <xdr:to>
      <xdr:col>4</xdr:col>
      <xdr:colOff>727466</xdr:colOff>
      <xdr:row>5</xdr:row>
      <xdr:rowOff>3899</xdr:rowOff>
    </xdr:to>
    <xdr:pic>
      <xdr:nvPicPr>
        <xdr:cNvPr id="2" name="Picture 7">
          <a:extLst>
            <a:ext uri="{FF2B5EF4-FFF2-40B4-BE49-F238E27FC236}">
              <a16:creationId xmlns:a16="http://schemas.microsoft.com/office/drawing/2014/main" id="{A68668D7-8EC5-41E0-B624-81AD94322F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417" y="214841"/>
          <a:ext cx="5665649"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709085</xdr:colOff>
      <xdr:row>4</xdr:row>
      <xdr:rowOff>52917</xdr:rowOff>
    </xdr:to>
    <xdr:pic>
      <xdr:nvPicPr>
        <xdr:cNvPr id="2" name="Picture 7">
          <a:extLst>
            <a:ext uri="{FF2B5EF4-FFF2-40B4-BE49-F238E27FC236}">
              <a16:creationId xmlns:a16="http://schemas.microsoft.com/office/drawing/2014/main" id="{0B1EB5C2-8E2E-4B7D-A888-C37DB2B1C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66707"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709085</xdr:colOff>
      <xdr:row>4</xdr:row>
      <xdr:rowOff>52917</xdr:rowOff>
    </xdr:to>
    <xdr:pic>
      <xdr:nvPicPr>
        <xdr:cNvPr id="2" name="Picture 7">
          <a:extLst>
            <a:ext uri="{FF2B5EF4-FFF2-40B4-BE49-F238E27FC236}">
              <a16:creationId xmlns:a16="http://schemas.microsoft.com/office/drawing/2014/main" id="{E5F30431-19CC-45B8-B1E1-D77BB143CF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66707"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571502</xdr:colOff>
      <xdr:row>4</xdr:row>
      <xdr:rowOff>52917</xdr:rowOff>
    </xdr:to>
    <xdr:pic>
      <xdr:nvPicPr>
        <xdr:cNvPr id="2" name="Picture 7">
          <a:extLst>
            <a:ext uri="{FF2B5EF4-FFF2-40B4-BE49-F238E27FC236}">
              <a16:creationId xmlns:a16="http://schemas.microsoft.com/office/drawing/2014/main" id="{0E66DCB8-03E3-4D03-9767-034B40C44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71999"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571502</xdr:colOff>
      <xdr:row>4</xdr:row>
      <xdr:rowOff>52917</xdr:rowOff>
    </xdr:to>
    <xdr:pic>
      <xdr:nvPicPr>
        <xdr:cNvPr id="2" name="Picture 7">
          <a:extLst>
            <a:ext uri="{FF2B5EF4-FFF2-40B4-BE49-F238E27FC236}">
              <a16:creationId xmlns:a16="http://schemas.microsoft.com/office/drawing/2014/main" id="{8E1A98D3-72CE-4B35-9096-003616CBA5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71999"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u&#231;adiSD\Desktop\PROJETOS%20CAMARA%20MUNICIPAL\SG%20CC%2002%20CMJP%20LANC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CAMARA%20MUNICIPAL%20JP\MEDI&#199;&#213;ES\BM%2020\bm%2020.1.xlsx" TargetMode="External"/><Relationship Id="rId1" Type="http://schemas.openxmlformats.org/officeDocument/2006/relationships/externalLinkPath" Target="/CAMARA%20MUNICIPAL%20JP/MEDI&#199;&#213;ES/BM%2020/bm%2020.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CAMARA%20MUNICIPAL%20JP\ADITIVO\ADITIVO%2002\ADITIVO%2002%20-%2001%20-%20TOTAL.xlsx" TargetMode="External"/><Relationship Id="rId1" Type="http://schemas.openxmlformats.org/officeDocument/2006/relationships/externalLinkPath" Target="/CAMARA%20MUNICIPAL%20JP/ADITIVO/ADITIVO%2002/ADITIVO%2002%20-%2001%20-%20TO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sheetName val="Planilha Resumida"/>
      <sheetName val="Cronograma SG"/>
      <sheetName val="CPUs"/>
    </sheetNames>
    <sheetDataSet>
      <sheetData sheetId="0" refreshError="1"/>
      <sheetData sheetId="1">
        <row r="7">
          <cell r="E7">
            <v>722837.82000000007</v>
          </cell>
        </row>
      </sheetData>
      <sheetData sheetId="2"/>
      <sheetData sheetId="3">
        <row r="6">
          <cell r="I6">
            <v>49155.89</v>
          </cell>
        </row>
        <row r="17">
          <cell r="I17">
            <v>312.24</v>
          </cell>
        </row>
        <row r="29">
          <cell r="I29">
            <v>254.59</v>
          </cell>
        </row>
        <row r="35">
          <cell r="I35">
            <v>38105.08</v>
          </cell>
        </row>
        <row r="47">
          <cell r="I47">
            <v>573.22715839622401</v>
          </cell>
        </row>
        <row r="98">
          <cell r="I98">
            <v>978.91286938692781</v>
          </cell>
        </row>
        <row r="169">
          <cell r="I169">
            <v>905.00213229131214</v>
          </cell>
        </row>
        <row r="217">
          <cell r="I217">
            <v>51.51</v>
          </cell>
        </row>
        <row r="233">
          <cell r="I233">
            <v>100.66</v>
          </cell>
        </row>
        <row r="247">
          <cell r="I247">
            <v>0.32</v>
          </cell>
        </row>
        <row r="256">
          <cell r="I256">
            <v>637.78</v>
          </cell>
        </row>
        <row r="279">
          <cell r="I279">
            <v>16.239999999999998</v>
          </cell>
        </row>
        <row r="289">
          <cell r="I289">
            <v>45.08</v>
          </cell>
        </row>
        <row r="296">
          <cell r="I296">
            <v>15.85</v>
          </cell>
        </row>
        <row r="306">
          <cell r="I306">
            <v>29.43</v>
          </cell>
        </row>
        <row r="316">
          <cell r="I316">
            <v>2.16</v>
          </cell>
        </row>
        <row r="323">
          <cell r="I323">
            <v>7.5</v>
          </cell>
        </row>
        <row r="332">
          <cell r="I332">
            <v>88.4</v>
          </cell>
        </row>
        <row r="347">
          <cell r="I347">
            <v>10.48</v>
          </cell>
        </row>
        <row r="352">
          <cell r="J352">
            <v>12.95</v>
          </cell>
        </row>
        <row r="355">
          <cell r="I355">
            <v>13.35</v>
          </cell>
        </row>
        <row r="365">
          <cell r="I365">
            <v>127.94</v>
          </cell>
        </row>
        <row r="380">
          <cell r="I380">
            <v>33.15</v>
          </cell>
        </row>
        <row r="390">
          <cell r="I390">
            <v>618.26</v>
          </cell>
        </row>
        <row r="400">
          <cell r="I400">
            <v>78.849999999999994</v>
          </cell>
        </row>
        <row r="407">
          <cell r="I407">
            <v>119.28</v>
          </cell>
        </row>
        <row r="424">
          <cell r="I424">
            <v>68.319999999999993</v>
          </cell>
        </row>
        <row r="430">
          <cell r="I430">
            <v>2.73</v>
          </cell>
        </row>
        <row r="438">
          <cell r="I438">
            <v>11.82</v>
          </cell>
        </row>
        <row r="448">
          <cell r="I448">
            <v>11.26</v>
          </cell>
        </row>
        <row r="458">
          <cell r="I458">
            <v>10.66</v>
          </cell>
        </row>
        <row r="468">
          <cell r="I468">
            <v>15.85</v>
          </cell>
        </row>
        <row r="478">
          <cell r="I478">
            <v>426.8</v>
          </cell>
        </row>
        <row r="487">
          <cell r="I487">
            <v>11.82</v>
          </cell>
        </row>
        <row r="497">
          <cell r="I497">
            <v>11.53</v>
          </cell>
        </row>
        <row r="507">
          <cell r="I507">
            <v>14.84</v>
          </cell>
        </row>
        <row r="517">
          <cell r="I517">
            <v>16.86</v>
          </cell>
        </row>
        <row r="527">
          <cell r="I527">
            <v>15.98</v>
          </cell>
        </row>
        <row r="537">
          <cell r="I537">
            <v>28.331400477099997</v>
          </cell>
        </row>
        <row r="547">
          <cell r="I547">
            <v>200.14249999999998</v>
          </cell>
        </row>
        <row r="551">
          <cell r="J551">
            <v>247.43617274999997</v>
          </cell>
        </row>
        <row r="554">
          <cell r="I554">
            <v>89.81</v>
          </cell>
        </row>
        <row r="559">
          <cell r="J559">
            <v>111.03</v>
          </cell>
        </row>
        <row r="562">
          <cell r="I562">
            <v>639.05999999999995</v>
          </cell>
        </row>
        <row r="570">
          <cell r="J570">
            <v>790.06</v>
          </cell>
        </row>
        <row r="573">
          <cell r="I573">
            <v>48.97</v>
          </cell>
        </row>
        <row r="584">
          <cell r="I584">
            <v>133.0293231</v>
          </cell>
        </row>
        <row r="601">
          <cell r="I601">
            <v>454.69917899999996</v>
          </cell>
        </row>
        <row r="613">
          <cell r="I613">
            <v>121.35</v>
          </cell>
        </row>
        <row r="624">
          <cell r="I624">
            <v>403.36814500000003</v>
          </cell>
        </row>
        <row r="638">
          <cell r="I638">
            <v>91.113440000000011</v>
          </cell>
        </row>
        <row r="649">
          <cell r="I649">
            <v>21.96</v>
          </cell>
        </row>
        <row r="660">
          <cell r="I660">
            <v>63.472000000000008</v>
          </cell>
        </row>
        <row r="670">
          <cell r="I670">
            <v>21.754468079999995</v>
          </cell>
        </row>
        <row r="677">
          <cell r="I677">
            <v>41.924965599999993</v>
          </cell>
        </row>
        <row r="684">
          <cell r="I684">
            <v>33.394647919999997</v>
          </cell>
        </row>
        <row r="691">
          <cell r="I691">
            <v>55.781244319999999</v>
          </cell>
        </row>
        <row r="701">
          <cell r="I701">
            <v>50.583785119999995</v>
          </cell>
        </row>
        <row r="708">
          <cell r="I708">
            <v>76.955122159999988</v>
          </cell>
        </row>
        <row r="718">
          <cell r="I718">
            <v>88.776238399999983</v>
          </cell>
        </row>
        <row r="728">
          <cell r="I728">
            <v>124.54</v>
          </cell>
        </row>
        <row r="734">
          <cell r="I734">
            <v>2.66</v>
          </cell>
        </row>
        <row r="740">
          <cell r="I740">
            <v>26.76</v>
          </cell>
        </row>
        <row r="746">
          <cell r="I746">
            <v>30.1403088</v>
          </cell>
        </row>
        <row r="757">
          <cell r="I757">
            <v>8.91</v>
          </cell>
        </row>
        <row r="765">
          <cell r="I765">
            <v>31.79</v>
          </cell>
        </row>
        <row r="773">
          <cell r="I773">
            <v>90.87</v>
          </cell>
        </row>
        <row r="783">
          <cell r="I783">
            <v>50.274144</v>
          </cell>
        </row>
        <row r="792">
          <cell r="I792">
            <v>49.65</v>
          </cell>
        </row>
        <row r="801">
          <cell r="I801">
            <v>6.57</v>
          </cell>
        </row>
        <row r="810">
          <cell r="I810">
            <v>27.423000000000002</v>
          </cell>
        </row>
        <row r="816">
          <cell r="I816">
            <v>3.1255176000000002</v>
          </cell>
        </row>
        <row r="824">
          <cell r="I824">
            <v>13.412023999999999</v>
          </cell>
        </row>
        <row r="833">
          <cell r="I833">
            <v>8.0119164000000005</v>
          </cell>
        </row>
        <row r="841">
          <cell r="I841">
            <v>3.5169600000000001</v>
          </cell>
        </row>
        <row r="849">
          <cell r="I849">
            <v>14.727829631999999</v>
          </cell>
        </row>
        <row r="858">
          <cell r="I858">
            <v>15.233774400000001</v>
          </cell>
        </row>
        <row r="866">
          <cell r="I866">
            <v>5.33</v>
          </cell>
        </row>
        <row r="876">
          <cell r="I876">
            <v>93.527987999999979</v>
          </cell>
        </row>
        <row r="886">
          <cell r="I886">
            <v>36.129199999999997</v>
          </cell>
        </row>
        <row r="894">
          <cell r="I894">
            <v>46.839680000000001</v>
          </cell>
        </row>
        <row r="903">
          <cell r="I903">
            <v>7.3111487999999998</v>
          </cell>
        </row>
        <row r="912">
          <cell r="I912">
            <v>276.06</v>
          </cell>
        </row>
        <row r="920">
          <cell r="I920">
            <v>40.44</v>
          </cell>
        </row>
        <row r="930">
          <cell r="I930">
            <v>154.07678000000001</v>
          </cell>
        </row>
        <row r="939">
          <cell r="I939">
            <v>116.37</v>
          </cell>
        </row>
        <row r="949">
          <cell r="I949">
            <v>303.2</v>
          </cell>
        </row>
        <row r="959">
          <cell r="I959">
            <v>48.442624999999992</v>
          </cell>
        </row>
        <row r="967">
          <cell r="I967">
            <v>671.7</v>
          </cell>
        </row>
        <row r="980">
          <cell r="I980">
            <v>32.81</v>
          </cell>
        </row>
        <row r="990">
          <cell r="I990">
            <v>294.43</v>
          </cell>
        </row>
        <row r="1000">
          <cell r="I1000">
            <v>457.15360000000004</v>
          </cell>
        </row>
        <row r="1009">
          <cell r="I1009">
            <v>569.94000000000005</v>
          </cell>
        </row>
        <row r="1019">
          <cell r="I1019">
            <v>37.327599999999997</v>
          </cell>
        </row>
        <row r="1027">
          <cell r="I1027">
            <v>135.51420000000002</v>
          </cell>
        </row>
        <row r="1037">
          <cell r="I1037">
            <v>131.48499999999999</v>
          </cell>
        </row>
        <row r="1046">
          <cell r="I1046">
            <v>15.98</v>
          </cell>
        </row>
        <row r="1056">
          <cell r="I1056">
            <v>2.74</v>
          </cell>
        </row>
        <row r="1064">
          <cell r="I1064">
            <v>120.39175800000001</v>
          </cell>
        </row>
        <row r="1075">
          <cell r="I1075">
            <v>2153.0117999999998</v>
          </cell>
        </row>
        <row r="1087">
          <cell r="I1087">
            <v>2914.6871999999994</v>
          </cell>
        </row>
        <row r="1097">
          <cell r="I1097">
            <v>1452.9035999999996</v>
          </cell>
        </row>
        <row r="1107">
          <cell r="I1107">
            <v>2769.5351999999998</v>
          </cell>
        </row>
        <row r="1117">
          <cell r="I1117">
            <v>1074.2539999999999</v>
          </cell>
        </row>
        <row r="1127">
          <cell r="I1127">
            <v>674.47440000000006</v>
          </cell>
        </row>
        <row r="1135">
          <cell r="I1135">
            <v>686.39159999999993</v>
          </cell>
        </row>
        <row r="1143">
          <cell r="I1143">
            <v>898.26440000000002</v>
          </cell>
        </row>
        <row r="1152">
          <cell r="I1152">
            <v>1090.63909352</v>
          </cell>
        </row>
        <row r="1162">
          <cell r="I1162">
            <v>1228.1524999999999</v>
          </cell>
        </row>
        <row r="1176">
          <cell r="I1176">
            <v>433.3064</v>
          </cell>
        </row>
        <row r="1183">
          <cell r="I1183">
            <v>804.05</v>
          </cell>
        </row>
        <row r="1190">
          <cell r="I1190">
            <v>41.57</v>
          </cell>
        </row>
        <row r="1198">
          <cell r="I1198">
            <v>299.33749999999998</v>
          </cell>
        </row>
        <row r="1207">
          <cell r="I1207">
            <v>106.65</v>
          </cell>
        </row>
        <row r="1216">
          <cell r="I1216">
            <v>684.08</v>
          </cell>
        </row>
        <row r="1228">
          <cell r="I1228">
            <v>930.93</v>
          </cell>
        </row>
        <row r="1237">
          <cell r="I1237">
            <v>530.13787420000006</v>
          </cell>
        </row>
        <row r="1246">
          <cell r="I1246">
            <v>2401.1328000000003</v>
          </cell>
        </row>
        <row r="1259">
          <cell r="I1259">
            <v>132.44999999999999</v>
          </cell>
        </row>
        <row r="1268">
          <cell r="I1268">
            <v>108.54</v>
          </cell>
        </row>
        <row r="1277">
          <cell r="I1277">
            <v>182.32</v>
          </cell>
        </row>
        <row r="1286">
          <cell r="I1286">
            <v>84.86</v>
          </cell>
        </row>
        <row r="1295">
          <cell r="I1295">
            <v>127.93</v>
          </cell>
        </row>
        <row r="1304">
          <cell r="I1304">
            <v>7.72</v>
          </cell>
        </row>
        <row r="1315">
          <cell r="I1315">
            <v>6.77</v>
          </cell>
        </row>
        <row r="1326">
          <cell r="I1326">
            <v>39.07</v>
          </cell>
        </row>
        <row r="1335">
          <cell r="I1335">
            <v>40.380000000000003</v>
          </cell>
        </row>
        <row r="1351">
          <cell r="I1351">
            <v>33.479999999999997</v>
          </cell>
        </row>
        <row r="1369">
          <cell r="I1369">
            <v>28.46</v>
          </cell>
        </row>
        <row r="1398">
          <cell r="I1398">
            <v>37.83</v>
          </cell>
        </row>
        <row r="1428">
          <cell r="I1428">
            <v>84.97</v>
          </cell>
        </row>
        <row r="1445">
          <cell r="I1445">
            <v>53.02</v>
          </cell>
        </row>
        <row r="1461">
          <cell r="I1461">
            <v>54.41</v>
          </cell>
        </row>
        <row r="1483">
          <cell r="I1483">
            <v>47.82</v>
          </cell>
        </row>
        <row r="1503">
          <cell r="I1503">
            <v>823.04</v>
          </cell>
        </row>
        <row r="1523">
          <cell r="I1523">
            <v>469.57</v>
          </cell>
        </row>
        <row r="1543">
          <cell r="I1543">
            <v>686.17</v>
          </cell>
        </row>
        <row r="1563">
          <cell r="I1563">
            <v>40.21</v>
          </cell>
        </row>
        <row r="1574">
          <cell r="I1574">
            <v>85.92</v>
          </cell>
        </row>
        <row r="1587">
          <cell r="I1587">
            <v>2116.0211249999998</v>
          </cell>
        </row>
        <row r="1614">
          <cell r="I1614">
            <v>10.09</v>
          </cell>
        </row>
        <row r="1623">
          <cell r="I1623">
            <v>88.79</v>
          </cell>
        </row>
        <row r="1632">
          <cell r="I1632">
            <v>129.68</v>
          </cell>
        </row>
        <row r="1641">
          <cell r="I1641">
            <v>6318.4359999999988</v>
          </cell>
        </row>
        <row r="1649">
          <cell r="I1649">
            <v>132.38999999999999</v>
          </cell>
        </row>
        <row r="1662">
          <cell r="I1662">
            <v>121.54</v>
          </cell>
        </row>
        <row r="1672">
          <cell r="I1672">
            <v>28.46</v>
          </cell>
        </row>
        <row r="1701">
          <cell r="I1701">
            <v>40.380000000000003</v>
          </cell>
        </row>
        <row r="1717">
          <cell r="I1717">
            <v>33.479999999999997</v>
          </cell>
        </row>
        <row r="1735">
          <cell r="I1735">
            <v>6318.4359999999988</v>
          </cell>
        </row>
        <row r="1743">
          <cell r="I1743">
            <v>1271.1199999999999</v>
          </cell>
        </row>
        <row r="1763">
          <cell r="I1763">
            <v>489.35</v>
          </cell>
        </row>
        <row r="1774">
          <cell r="I1774">
            <v>28.43</v>
          </cell>
        </row>
        <row r="1785">
          <cell r="I1785">
            <v>285.37</v>
          </cell>
        </row>
        <row r="1806">
          <cell r="I1806">
            <v>87.55</v>
          </cell>
        </row>
        <row r="1817">
          <cell r="I1817">
            <v>342.53</v>
          </cell>
        </row>
        <row r="1826">
          <cell r="I1826">
            <v>2288.2885255000006</v>
          </cell>
        </row>
        <row r="1853">
          <cell r="I1853">
            <v>1871.68</v>
          </cell>
        </row>
        <row r="1878">
          <cell r="I1878">
            <v>492.99</v>
          </cell>
        </row>
        <row r="1898">
          <cell r="I1898">
            <v>686.17</v>
          </cell>
        </row>
        <row r="1918">
          <cell r="I1918">
            <v>15.85</v>
          </cell>
        </row>
        <row r="1929">
          <cell r="I1929">
            <v>162.43</v>
          </cell>
        </row>
        <row r="1946">
          <cell r="I1946">
            <v>449.43</v>
          </cell>
        </row>
        <row r="1965">
          <cell r="I1965">
            <v>490.3</v>
          </cell>
        </row>
        <row r="1985">
          <cell r="I1985">
            <v>1180.7537999999997</v>
          </cell>
        </row>
        <row r="1998">
          <cell r="I1998">
            <v>73.94</v>
          </cell>
        </row>
        <row r="2009">
          <cell r="I2009">
            <v>2668.084625</v>
          </cell>
        </row>
        <row r="2035">
          <cell r="I2035">
            <v>1871.68</v>
          </cell>
        </row>
        <row r="2062">
          <cell r="I2062">
            <v>84.37</v>
          </cell>
        </row>
        <row r="2070">
          <cell r="I2070">
            <v>127.45674232729601</v>
          </cell>
        </row>
        <row r="2085">
          <cell r="I2085">
            <v>141.61326981252799</v>
          </cell>
        </row>
        <row r="2098">
          <cell r="I2098">
            <v>108.80750041424001</v>
          </cell>
        </row>
        <row r="2111">
          <cell r="I2111">
            <v>277.88519616119999</v>
          </cell>
        </row>
        <row r="2126">
          <cell r="I2126">
            <v>256.09326414399999</v>
          </cell>
        </row>
        <row r="2139">
          <cell r="I2139">
            <v>125.08</v>
          </cell>
        </row>
        <row r="2148">
          <cell r="I2148">
            <v>289.56800000000004</v>
          </cell>
        </row>
        <row r="2157">
          <cell r="I2157">
            <v>490.65</v>
          </cell>
        </row>
        <row r="2166">
          <cell r="I2166">
            <v>514.78</v>
          </cell>
        </row>
        <row r="2175">
          <cell r="I2175">
            <v>481.60399999999998</v>
          </cell>
        </row>
        <row r="2184">
          <cell r="I2184">
            <v>62.6</v>
          </cell>
        </row>
        <row r="2193">
          <cell r="I2193">
            <v>92.96</v>
          </cell>
        </row>
        <row r="2202">
          <cell r="I2202">
            <v>893.41</v>
          </cell>
        </row>
        <row r="2208">
          <cell r="I2208">
            <v>763.36</v>
          </cell>
        </row>
        <row r="2214">
          <cell r="I2214">
            <v>581.22</v>
          </cell>
        </row>
        <row r="2220">
          <cell r="I2220">
            <v>19.36</v>
          </cell>
        </row>
        <row r="2226">
          <cell r="I2226">
            <v>283.33</v>
          </cell>
        </row>
        <row r="2233">
          <cell r="I2233">
            <v>29.39</v>
          </cell>
        </row>
        <row r="2241">
          <cell r="I2241">
            <v>5.27</v>
          </cell>
        </row>
        <row r="2249">
          <cell r="I2249">
            <v>12.22</v>
          </cell>
        </row>
        <row r="2257">
          <cell r="I2257">
            <v>15.85</v>
          </cell>
        </row>
        <row r="2265">
          <cell r="I2265">
            <v>394.86</v>
          </cell>
        </row>
        <row r="2275">
          <cell r="I2275">
            <v>345.39</v>
          </cell>
        </row>
        <row r="2282">
          <cell r="I2282">
            <v>71.59</v>
          </cell>
        </row>
        <row r="2291">
          <cell r="I2291">
            <v>71.59</v>
          </cell>
        </row>
        <row r="2300">
          <cell r="I2300">
            <v>1115.04</v>
          </cell>
        </row>
        <row r="2307">
          <cell r="I2307">
            <v>75.349999999999994</v>
          </cell>
        </row>
        <row r="2316">
          <cell r="I2316">
            <v>81.02</v>
          </cell>
        </row>
        <row r="2325">
          <cell r="I2325">
            <v>88.46</v>
          </cell>
        </row>
        <row r="2334">
          <cell r="I2334">
            <v>66.66</v>
          </cell>
        </row>
        <row r="2340">
          <cell r="I2340">
            <v>97.34</v>
          </cell>
        </row>
        <row r="2346">
          <cell r="I2346">
            <v>3140.8240000000005</v>
          </cell>
        </row>
        <row r="2353">
          <cell r="I2353">
            <v>53.53</v>
          </cell>
        </row>
        <row r="2362">
          <cell r="I2362">
            <v>54.52</v>
          </cell>
        </row>
        <row r="2371">
          <cell r="I2371">
            <v>56.63</v>
          </cell>
        </row>
        <row r="2380">
          <cell r="I2380">
            <v>56.63</v>
          </cell>
        </row>
        <row r="2389">
          <cell r="I2389">
            <v>59.14</v>
          </cell>
        </row>
        <row r="2398">
          <cell r="I2398">
            <v>62.18</v>
          </cell>
        </row>
        <row r="2407">
          <cell r="I2407">
            <v>67.150000000000006</v>
          </cell>
        </row>
        <row r="2416">
          <cell r="I2416">
            <v>10.92</v>
          </cell>
        </row>
        <row r="2425">
          <cell r="I2425">
            <v>11.4</v>
          </cell>
        </row>
        <row r="2434">
          <cell r="I2434">
            <v>12.46</v>
          </cell>
        </row>
        <row r="2443">
          <cell r="I2443">
            <v>12.46</v>
          </cell>
        </row>
        <row r="2452">
          <cell r="I2452">
            <v>13.71</v>
          </cell>
        </row>
        <row r="2461">
          <cell r="I2461">
            <v>19.7</v>
          </cell>
        </row>
        <row r="2470">
          <cell r="I2470">
            <v>143.80000000000001</v>
          </cell>
        </row>
        <row r="2480">
          <cell r="I2480">
            <v>139.41999999999999</v>
          </cell>
        </row>
        <row r="2486">
          <cell r="I2486">
            <v>122.36</v>
          </cell>
        </row>
        <row r="2493">
          <cell r="I2493">
            <v>5.97</v>
          </cell>
        </row>
        <row r="2500">
          <cell r="I2500">
            <v>52.65</v>
          </cell>
        </row>
        <row r="2507">
          <cell r="I2507">
            <v>38.862104999999993</v>
          </cell>
        </row>
        <row r="2516">
          <cell r="I2516">
            <v>53.746579999999987</v>
          </cell>
        </row>
        <row r="2525">
          <cell r="I2525">
            <v>69.454714999999993</v>
          </cell>
        </row>
        <row r="2534">
          <cell r="I2534">
            <v>90.193189999999987</v>
          </cell>
        </row>
        <row r="2543">
          <cell r="I2543">
            <v>133.68797999999998</v>
          </cell>
        </row>
        <row r="2552">
          <cell r="I2552">
            <v>176.94013299999995</v>
          </cell>
        </row>
        <row r="2561">
          <cell r="I2561">
            <v>228.71202099999994</v>
          </cell>
        </row>
        <row r="2570">
          <cell r="I2570">
            <v>79.560444999999987</v>
          </cell>
        </row>
        <row r="2578">
          <cell r="I2578">
            <v>92.62</v>
          </cell>
        </row>
        <row r="2587">
          <cell r="I2587">
            <v>121.97</v>
          </cell>
        </row>
        <row r="2596">
          <cell r="I2596">
            <v>101.31</v>
          </cell>
        </row>
        <row r="2605">
          <cell r="I2605">
            <v>37.700000000000003</v>
          </cell>
        </row>
        <row r="2614">
          <cell r="I2614">
            <v>35.020000000000003</v>
          </cell>
        </row>
        <row r="2623">
          <cell r="I2623">
            <v>25.14</v>
          </cell>
        </row>
        <row r="2631">
          <cell r="I2631">
            <v>63.84</v>
          </cell>
        </row>
        <row r="2639">
          <cell r="I2639">
            <v>1.1399999999999999</v>
          </cell>
        </row>
        <row r="2645">
          <cell r="I2645">
            <v>8.3699999999999992</v>
          </cell>
        </row>
        <row r="2652">
          <cell r="I2652">
            <v>2242.6764000000003</v>
          </cell>
        </row>
        <row r="2679">
          <cell r="I2679">
            <v>507.29</v>
          </cell>
        </row>
        <row r="2688">
          <cell r="I2688">
            <v>1255.7216600000002</v>
          </cell>
        </row>
        <row r="2703">
          <cell r="I2703">
            <v>42597.580799999996</v>
          </cell>
        </row>
        <row r="2713">
          <cell r="I2713">
            <v>71.73</v>
          </cell>
        </row>
        <row r="2721">
          <cell r="I2721">
            <v>12.12</v>
          </cell>
        </row>
        <row r="2729">
          <cell r="I2729">
            <v>2272.9499999999998</v>
          </cell>
        </row>
        <row r="2735">
          <cell r="I2735">
            <v>5.22</v>
          </cell>
        </row>
        <row r="2741">
          <cell r="I2741">
            <v>6.5</v>
          </cell>
        </row>
        <row r="2747">
          <cell r="I2747">
            <v>90.31</v>
          </cell>
        </row>
        <row r="2754">
          <cell r="I2754">
            <v>14.2</v>
          </cell>
        </row>
        <row r="2762">
          <cell r="I2762">
            <v>59.17</v>
          </cell>
        </row>
        <row r="2770">
          <cell r="I2770">
            <v>17.71</v>
          </cell>
        </row>
        <row r="2778">
          <cell r="I2778">
            <v>81.53</v>
          </cell>
        </row>
        <row r="2786">
          <cell r="I2786">
            <v>46.02</v>
          </cell>
        </row>
        <row r="2795">
          <cell r="I2795">
            <v>2.94</v>
          </cell>
        </row>
        <row r="2801">
          <cell r="I2801">
            <v>12.83</v>
          </cell>
        </row>
        <row r="2808">
          <cell r="I2808">
            <v>92.13</v>
          </cell>
        </row>
        <row r="2816">
          <cell r="I2816">
            <v>74.23</v>
          </cell>
        </row>
        <row r="2824">
          <cell r="I2824">
            <v>106.74677000000001</v>
          </cell>
        </row>
        <row r="2832">
          <cell r="I2832">
            <v>77.61</v>
          </cell>
        </row>
        <row r="2840">
          <cell r="I2840">
            <v>38.29</v>
          </cell>
        </row>
        <row r="2848">
          <cell r="I2848">
            <v>58.06</v>
          </cell>
        </row>
        <row r="2856">
          <cell r="I2856">
            <v>77.61</v>
          </cell>
        </row>
        <row r="2864">
          <cell r="I2864">
            <v>53.175640000000001</v>
          </cell>
        </row>
        <row r="2872">
          <cell r="I2872">
            <v>97.66</v>
          </cell>
        </row>
        <row r="2880">
          <cell r="I2880">
            <v>116.66</v>
          </cell>
        </row>
        <row r="2888">
          <cell r="I2888">
            <v>86.1</v>
          </cell>
        </row>
        <row r="2896">
          <cell r="I2896">
            <v>118.35817999999999</v>
          </cell>
        </row>
        <row r="2904">
          <cell r="I2904">
            <v>42.957740000000001</v>
          </cell>
        </row>
        <row r="2912">
          <cell r="I2912">
            <v>49.756839999999997</v>
          </cell>
        </row>
        <row r="2920">
          <cell r="I2920">
            <v>39.515839999999997</v>
          </cell>
        </row>
        <row r="2928">
          <cell r="I2928">
            <v>21.201599999999999</v>
          </cell>
        </row>
        <row r="2936">
          <cell r="I2936">
            <v>28.04</v>
          </cell>
        </row>
        <row r="2943">
          <cell r="I2943">
            <v>156391.79679999998</v>
          </cell>
        </row>
        <row r="2949">
          <cell r="I2949">
            <v>54741.196399999993</v>
          </cell>
        </row>
        <row r="2955">
          <cell r="I2955">
            <v>8674.9599999999991</v>
          </cell>
        </row>
        <row r="2962">
          <cell r="I2962">
            <v>154258.226</v>
          </cell>
        </row>
        <row r="2976">
          <cell r="I2976">
            <v>79.788006999999993</v>
          </cell>
        </row>
        <row r="2984">
          <cell r="I2984">
            <v>117.78</v>
          </cell>
        </row>
        <row r="2994">
          <cell r="I2994">
            <v>157.97999999999999</v>
          </cell>
        </row>
        <row r="3004">
          <cell r="I3004">
            <v>1680.7386000000001</v>
          </cell>
        </row>
        <row r="3018">
          <cell r="I3018">
            <v>217.65</v>
          </cell>
        </row>
        <row r="3027">
          <cell r="I3027">
            <v>917.04</v>
          </cell>
        </row>
        <row r="3036">
          <cell r="I3036">
            <v>234.45359999999999</v>
          </cell>
        </row>
        <row r="3045">
          <cell r="I3045">
            <v>4697.34</v>
          </cell>
        </row>
        <row r="3072">
          <cell r="I3072">
            <v>147.79</v>
          </cell>
        </row>
        <row r="3080">
          <cell r="I3080">
            <v>763.63</v>
          </cell>
        </row>
        <row r="3086">
          <cell r="I3086">
            <v>3105.37</v>
          </cell>
        </row>
        <row r="3093">
          <cell r="I3093">
            <v>80.25</v>
          </cell>
        </row>
        <row r="3101">
          <cell r="I3101">
            <v>109.96559999999999</v>
          </cell>
        </row>
        <row r="3108">
          <cell r="I3108">
            <v>141.75799999999998</v>
          </cell>
        </row>
        <row r="3116">
          <cell r="I3116">
            <v>208.51999999999998</v>
          </cell>
        </row>
        <row r="3124">
          <cell r="I3124">
            <v>156.74</v>
          </cell>
        </row>
        <row r="3132">
          <cell r="I3132">
            <v>127.93</v>
          </cell>
        </row>
        <row r="3139">
          <cell r="I3139">
            <v>2.97</v>
          </cell>
        </row>
        <row r="3146">
          <cell r="I3146">
            <v>11.66</v>
          </cell>
        </row>
        <row r="3154">
          <cell r="I3154">
            <v>510.97</v>
          </cell>
        </row>
        <row r="3166">
          <cell r="I3166">
            <v>1962.65</v>
          </cell>
        </row>
        <row r="3177">
          <cell r="I3177">
            <v>139.25608</v>
          </cell>
        </row>
        <row r="3188">
          <cell r="I3188">
            <v>112.13999999999999</v>
          </cell>
        </row>
        <row r="3196">
          <cell r="I3196">
            <v>16.2</v>
          </cell>
        </row>
        <row r="3204">
          <cell r="I3204">
            <v>32.949999999999996</v>
          </cell>
        </row>
        <row r="3212">
          <cell r="I3212">
            <v>47.84</v>
          </cell>
        </row>
        <row r="3219">
          <cell r="I3219">
            <v>11.866655999999999</v>
          </cell>
        </row>
        <row r="3227">
          <cell r="I3227">
            <v>4.9367600000000005</v>
          </cell>
        </row>
        <row r="3235">
          <cell r="I3235">
            <v>97.37</v>
          </cell>
        </row>
        <row r="3242">
          <cell r="I3242">
            <v>25.2</v>
          </cell>
        </row>
        <row r="3248">
          <cell r="I3248">
            <v>29.91752</v>
          </cell>
        </row>
        <row r="3256">
          <cell r="I3256">
            <v>77.601140000000001</v>
          </cell>
        </row>
        <row r="3265">
          <cell r="I3265">
            <v>1.55</v>
          </cell>
        </row>
        <row r="3272">
          <cell r="I3272">
            <v>227.81</v>
          </cell>
        </row>
        <row r="3281">
          <cell r="I3281">
            <v>93.64</v>
          </cell>
        </row>
        <row r="3288">
          <cell r="I3288">
            <v>144.41999999999999</v>
          </cell>
        </row>
        <row r="3297">
          <cell r="I3297">
            <v>1.62</v>
          </cell>
        </row>
        <row r="3304">
          <cell r="I3304">
            <v>113.83</v>
          </cell>
        </row>
        <row r="3314">
          <cell r="I3314">
            <v>490.52</v>
          </cell>
        </row>
        <row r="3322">
          <cell r="I3322">
            <v>10.24</v>
          </cell>
        </row>
        <row r="3331">
          <cell r="I3331">
            <v>2.63</v>
          </cell>
        </row>
        <row r="3338">
          <cell r="I3338">
            <v>7.34</v>
          </cell>
        </row>
        <row r="3345">
          <cell r="I3345">
            <v>84.77</v>
          </cell>
        </row>
        <row r="3352">
          <cell r="I3352">
            <v>568.28</v>
          </cell>
        </row>
        <row r="3360">
          <cell r="I3360">
            <v>12.65</v>
          </cell>
        </row>
        <row r="3370">
          <cell r="I3370">
            <v>13.29</v>
          </cell>
        </row>
        <row r="3380">
          <cell r="I3380">
            <v>624.55999999999995</v>
          </cell>
        </row>
        <row r="3390">
          <cell r="I3390">
            <v>167.33</v>
          </cell>
        </row>
        <row r="3400">
          <cell r="J3400">
            <v>206.87</v>
          </cell>
        </row>
        <row r="3403">
          <cell r="I3403">
            <v>639.05999999999995</v>
          </cell>
        </row>
        <row r="3411">
          <cell r="J3411">
            <v>790.06</v>
          </cell>
        </row>
        <row r="3415">
          <cell r="I3415">
            <v>2.74</v>
          </cell>
        </row>
        <row r="3433">
          <cell r="I3433">
            <v>62.14</v>
          </cell>
        </row>
        <row r="3448">
          <cell r="I3448">
            <v>42.08</v>
          </cell>
        </row>
        <row r="3458">
          <cell r="I3458">
            <v>2509.83</v>
          </cell>
        </row>
        <row r="3475">
          <cell r="I3475">
            <v>21.23</v>
          </cell>
        </row>
        <row r="3483">
          <cell r="I3483">
            <v>431.82557899999995</v>
          </cell>
        </row>
        <row r="3495">
          <cell r="I3495">
            <v>462.24</v>
          </cell>
        </row>
        <row r="3503">
          <cell r="I3503">
            <v>117.43</v>
          </cell>
        </row>
        <row r="3512">
          <cell r="I3512">
            <v>234.54787420000002</v>
          </cell>
        </row>
        <row r="3524">
          <cell r="I3524">
            <v>217.88</v>
          </cell>
        </row>
        <row r="3532">
          <cell r="I3532">
            <v>129.68</v>
          </cell>
        </row>
        <row r="3542">
          <cell r="I3542">
            <v>915.49</v>
          </cell>
        </row>
        <row r="3550">
          <cell r="I3550">
            <v>799.93</v>
          </cell>
        </row>
        <row r="3558">
          <cell r="I3558">
            <v>224.66</v>
          </cell>
        </row>
        <row r="3568">
          <cell r="I3568">
            <v>439.14629999999994</v>
          </cell>
        </row>
        <row r="3582">
          <cell r="I3582">
            <v>556.15</v>
          </cell>
        </row>
        <row r="3593">
          <cell r="I3593">
            <v>3.73</v>
          </cell>
        </row>
        <row r="3601">
          <cell r="I3601">
            <v>68.2</v>
          </cell>
        </row>
        <row r="3609">
          <cell r="I3609">
            <v>3.5169600000000001</v>
          </cell>
        </row>
        <row r="3618">
          <cell r="I3618">
            <v>14.465938911999999</v>
          </cell>
        </row>
        <row r="3627">
          <cell r="I3627">
            <v>9.5299999999999994</v>
          </cell>
        </row>
        <row r="3635">
          <cell r="I3635">
            <v>38.657279999999993</v>
          </cell>
        </row>
        <row r="3643">
          <cell r="I3643">
            <v>40.98</v>
          </cell>
        </row>
        <row r="3651">
          <cell r="I3651">
            <v>2.8675000000000002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ilha"/>
      <sheetName val="RESUMO MEM."/>
      <sheetName val="5.0"/>
      <sheetName val="7.0"/>
      <sheetName val="8.0"/>
      <sheetName val="9.0"/>
      <sheetName val="10.0"/>
      <sheetName val="11.0"/>
      <sheetName val="12.0"/>
      <sheetName val="13.0"/>
      <sheetName val="15.0"/>
      <sheetName val="16.0"/>
      <sheetName val="17.0"/>
      <sheetName val="18.0"/>
      <sheetName val="23.0"/>
      <sheetName val="24.0"/>
    </sheetNames>
    <sheetDataSet>
      <sheetData sheetId="0">
        <row r="94">
          <cell r="D94">
            <v>249</v>
          </cell>
        </row>
        <row r="95">
          <cell r="D95">
            <v>504.04</v>
          </cell>
        </row>
        <row r="96">
          <cell r="D96">
            <v>168.34</v>
          </cell>
        </row>
        <row r="98">
          <cell r="D98">
            <v>260</v>
          </cell>
        </row>
        <row r="101">
          <cell r="D101">
            <v>59.58</v>
          </cell>
        </row>
        <row r="162">
          <cell r="D162">
            <v>1151.44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ilha Final"/>
      <sheetName val="RESUMO MEM."/>
      <sheetName val="3.0"/>
      <sheetName val="4.0"/>
      <sheetName val="5.0"/>
      <sheetName val="6.0"/>
      <sheetName val="8.0"/>
      <sheetName val="9.0"/>
      <sheetName val="11.0"/>
      <sheetName val="10.0"/>
      <sheetName val="12.0"/>
      <sheetName val="14.0"/>
      <sheetName val="16.0"/>
      <sheetName val="17.0"/>
      <sheetName val="18.0"/>
      <sheetName val="21.0"/>
      <sheetName val="24.0"/>
      <sheetName val="TABELA"/>
    </sheetNames>
    <sheetDataSet>
      <sheetData sheetId="0">
        <row r="159">
          <cell r="E159">
            <v>0</v>
          </cell>
        </row>
        <row r="160">
          <cell r="E160"/>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E0BD-FD8D-4CB5-8767-C78642668AA4}">
  <dimension ref="A1:N439"/>
  <sheetViews>
    <sheetView showGridLines="0" showOutlineSymbols="0" showWhiteSpace="0" view="pageBreakPreview" topLeftCell="A406" zoomScale="80" zoomScaleNormal="100" zoomScaleSheetLayoutView="80" workbookViewId="0">
      <selection activeCell="K436" sqref="K436"/>
    </sheetView>
  </sheetViews>
  <sheetFormatPr defaultColWidth="8.875" defaultRowHeight="14.25" x14ac:dyDescent="0.2"/>
  <cols>
    <col min="1" max="1" width="13.875" style="2" customWidth="1"/>
    <col min="2" max="2" width="60" style="2" bestFit="1" customWidth="1"/>
    <col min="3" max="3" width="6.625" style="2" customWidth="1"/>
    <col min="4" max="4" width="10.375" style="2" customWidth="1"/>
    <col min="5" max="5" width="6" style="2" hidden="1" customWidth="1"/>
    <col min="6" max="6" width="13" style="2" bestFit="1" customWidth="1"/>
    <col min="7" max="7" width="13.25" style="2" customWidth="1"/>
    <col min="8" max="8" width="11.75" style="2" customWidth="1"/>
    <col min="9" max="9" width="11.25" style="2" customWidth="1"/>
    <col min="10" max="10" width="13" style="2" customWidth="1"/>
    <col min="11" max="11" width="12.625" style="2" customWidth="1"/>
    <col min="12" max="12" width="11.875" style="2" customWidth="1"/>
    <col min="13" max="13" width="12.625" style="2" customWidth="1"/>
    <col min="14" max="16384" width="8.875" style="2"/>
  </cols>
  <sheetData>
    <row r="1" spans="1:14" ht="15" customHeight="1" x14ac:dyDescent="0.2">
      <c r="A1" s="200"/>
      <c r="B1" s="1"/>
      <c r="C1" s="201"/>
      <c r="D1" s="201"/>
      <c r="E1" s="201"/>
      <c r="F1" s="201"/>
      <c r="G1" s="1"/>
      <c r="H1" s="1"/>
      <c r="I1" s="1"/>
      <c r="J1" s="1"/>
      <c r="K1" s="1"/>
      <c r="L1" s="1"/>
      <c r="M1" s="1"/>
    </row>
    <row r="2" spans="1:14" ht="80.099999999999994" customHeight="1" x14ac:dyDescent="0.2">
      <c r="A2" s="200"/>
      <c r="B2" s="3"/>
      <c r="C2" s="202"/>
      <c r="D2" s="202"/>
      <c r="E2" s="203"/>
      <c r="F2" s="203"/>
      <c r="G2" s="3"/>
      <c r="H2" s="3"/>
      <c r="I2" s="3"/>
      <c r="J2" s="3"/>
      <c r="K2" s="3"/>
      <c r="L2" s="3"/>
      <c r="M2" s="3"/>
    </row>
    <row r="3" spans="1:14" s="4" customFormat="1" ht="18" customHeight="1" x14ac:dyDescent="0.2">
      <c r="A3" s="204" t="s">
        <v>0</v>
      </c>
      <c r="B3" s="205"/>
      <c r="C3" s="205"/>
      <c r="D3" s="205"/>
      <c r="E3" s="205"/>
      <c r="F3" s="205"/>
      <c r="G3" s="206"/>
      <c r="H3" s="207" t="s">
        <v>1</v>
      </c>
      <c r="I3" s="208"/>
      <c r="J3" s="208"/>
      <c r="K3" s="209">
        <f>G435</f>
        <v>21389181.107551087</v>
      </c>
      <c r="L3" s="209"/>
      <c r="M3" s="209"/>
    </row>
    <row r="4" spans="1:14" s="4" customFormat="1" ht="18.75" customHeight="1" x14ac:dyDescent="0.2">
      <c r="A4" s="188" t="s">
        <v>2</v>
      </c>
      <c r="B4" s="189"/>
      <c r="C4" s="189"/>
      <c r="D4" s="189"/>
      <c r="E4" s="189"/>
      <c r="F4" s="189"/>
      <c r="G4" s="190"/>
      <c r="H4" s="191" t="s">
        <v>3</v>
      </c>
      <c r="I4" s="192"/>
      <c r="J4" s="192"/>
      <c r="K4" s="193">
        <f>K435</f>
        <v>15691365.461726945</v>
      </c>
      <c r="L4" s="193"/>
      <c r="M4" s="193"/>
    </row>
    <row r="5" spans="1:14" s="4" customFormat="1" ht="18.75" customHeight="1" x14ac:dyDescent="0.2">
      <c r="A5" s="188" t="s">
        <v>4</v>
      </c>
      <c r="B5" s="189"/>
      <c r="C5" s="189"/>
      <c r="D5" s="189"/>
      <c r="E5" s="189"/>
      <c r="F5" s="189"/>
      <c r="G5" s="190"/>
      <c r="H5" s="191" t="s">
        <v>5</v>
      </c>
      <c r="I5" s="192"/>
      <c r="J5" s="192"/>
      <c r="K5" s="193">
        <f>L435</f>
        <v>1857930.9133822743</v>
      </c>
      <c r="L5" s="193"/>
      <c r="M5" s="193"/>
    </row>
    <row r="6" spans="1:14" s="4" customFormat="1" ht="17.25" customHeight="1" x14ac:dyDescent="0.2">
      <c r="A6" s="188" t="s">
        <v>6</v>
      </c>
      <c r="B6" s="189"/>
      <c r="C6" s="189"/>
      <c r="D6" s="189"/>
      <c r="E6" s="189"/>
      <c r="F6" s="189"/>
      <c r="G6" s="190"/>
      <c r="H6" s="191" t="s">
        <v>7</v>
      </c>
      <c r="I6" s="192"/>
      <c r="J6" s="192"/>
      <c r="K6" s="193">
        <f>M435</f>
        <v>17549296.702856723</v>
      </c>
      <c r="L6" s="193"/>
      <c r="M6" s="193"/>
    </row>
    <row r="7" spans="1:14" ht="19.5" customHeight="1" x14ac:dyDescent="0.2">
      <c r="A7" s="194" t="s">
        <v>8</v>
      </c>
      <c r="B7" s="195"/>
      <c r="C7" s="195"/>
      <c r="D7" s="195"/>
      <c r="E7" s="195"/>
      <c r="F7" s="195"/>
      <c r="G7" s="196"/>
      <c r="H7" s="197" t="s">
        <v>9</v>
      </c>
      <c r="I7" s="198"/>
      <c r="J7" s="198"/>
      <c r="K7" s="199">
        <f>K3-K6</f>
        <v>3839884.4046943635</v>
      </c>
      <c r="L7" s="199"/>
      <c r="M7" s="199"/>
    </row>
    <row r="8" spans="1:14" ht="26.25" customHeight="1" x14ac:dyDescent="0.2">
      <c r="A8" s="181" t="s">
        <v>1313</v>
      </c>
      <c r="B8" s="182"/>
      <c r="C8" s="182"/>
      <c r="D8" s="182"/>
      <c r="E8" s="182"/>
      <c r="F8" s="182"/>
      <c r="G8" s="183"/>
      <c r="H8" s="184" t="s">
        <v>1312</v>
      </c>
      <c r="I8" s="184"/>
      <c r="J8" s="184"/>
      <c r="K8" s="184"/>
      <c r="L8" s="184"/>
      <c r="M8" s="184"/>
    </row>
    <row r="9" spans="1:14" ht="24.75" customHeight="1" x14ac:dyDescent="0.2">
      <c r="A9" s="185" t="s">
        <v>10</v>
      </c>
      <c r="B9" s="185"/>
      <c r="C9" s="185"/>
      <c r="D9" s="185"/>
      <c r="E9" s="185"/>
      <c r="F9" s="185"/>
      <c r="G9" s="185"/>
      <c r="H9" s="185"/>
      <c r="I9" s="185"/>
      <c r="J9" s="185"/>
      <c r="K9" s="185"/>
      <c r="L9" s="185"/>
      <c r="M9" s="185"/>
    </row>
    <row r="10" spans="1:14" ht="15" x14ac:dyDescent="0.2">
      <c r="A10" s="5"/>
    </row>
    <row r="11" spans="1:14" ht="21.75" customHeight="1" x14ac:dyDescent="0.2">
      <c r="A11" s="186" t="s">
        <v>11</v>
      </c>
      <c r="B11" s="186" t="s">
        <v>12</v>
      </c>
      <c r="C11" s="186" t="s">
        <v>13</v>
      </c>
      <c r="D11" s="187" t="s">
        <v>14</v>
      </c>
      <c r="E11" s="187"/>
      <c r="F11" s="187"/>
      <c r="G11" s="187"/>
      <c r="H11" s="187" t="s">
        <v>15</v>
      </c>
      <c r="I11" s="187"/>
      <c r="J11" s="187"/>
      <c r="K11" s="187" t="s">
        <v>16</v>
      </c>
      <c r="L11" s="187"/>
      <c r="M11" s="187"/>
    </row>
    <row r="12" spans="1:14" ht="30" customHeight="1" x14ac:dyDescent="0.2">
      <c r="A12" s="186"/>
      <c r="B12" s="186"/>
      <c r="C12" s="186"/>
      <c r="D12" s="6" t="s">
        <v>17</v>
      </c>
      <c r="E12" s="6" t="s">
        <v>18</v>
      </c>
      <c r="F12" s="6" t="s">
        <v>19</v>
      </c>
      <c r="G12" s="6" t="s">
        <v>20</v>
      </c>
      <c r="H12" s="6" t="s">
        <v>21</v>
      </c>
      <c r="I12" s="6" t="s">
        <v>22</v>
      </c>
      <c r="J12" s="6" t="s">
        <v>23</v>
      </c>
      <c r="K12" s="6" t="s">
        <v>21</v>
      </c>
      <c r="L12" s="6" t="s">
        <v>22</v>
      </c>
      <c r="M12" s="6" t="s">
        <v>23</v>
      </c>
      <c r="N12" s="101" t="s">
        <v>825</v>
      </c>
    </row>
    <row r="13" spans="1:14" ht="24" customHeight="1" x14ac:dyDescent="0.2">
      <c r="A13" s="104" t="s">
        <v>24</v>
      </c>
      <c r="B13" s="7" t="s">
        <v>25</v>
      </c>
      <c r="C13" s="7"/>
      <c r="D13" s="8"/>
      <c r="E13" s="7"/>
      <c r="F13" s="7"/>
      <c r="G13" s="10">
        <f>SUM(G14:G17)</f>
        <v>722837.82517100009</v>
      </c>
      <c r="H13" s="8"/>
      <c r="I13" s="9"/>
      <c r="J13" s="10"/>
      <c r="K13" s="10">
        <f>SUM(K14:K17)</f>
        <v>696219.52517100004</v>
      </c>
      <c r="L13" s="10">
        <f>SUM(L14:L17)</f>
        <v>0</v>
      </c>
      <c r="M13" s="105">
        <f>SUM(M14:M17)</f>
        <v>696219.52517100004</v>
      </c>
      <c r="N13" s="102">
        <f t="shared" ref="N13:N19" si="0">M13/G13</f>
        <v>0.96317528071569436</v>
      </c>
    </row>
    <row r="14" spans="1:14" ht="16.5" customHeight="1" x14ac:dyDescent="0.2">
      <c r="A14" s="106" t="s">
        <v>26</v>
      </c>
      <c r="B14" s="11" t="s">
        <v>27</v>
      </c>
      <c r="C14" s="12" t="s">
        <v>28</v>
      </c>
      <c r="D14" s="13">
        <v>11</v>
      </c>
      <c r="E14" s="14">
        <f>[1]CPUs!I6</f>
        <v>49155.89</v>
      </c>
      <c r="F14" s="14">
        <v>60771.42</v>
      </c>
      <c r="G14" s="14">
        <f>D14*F14</f>
        <v>668485.62</v>
      </c>
      <c r="H14" s="15">
        <v>11</v>
      </c>
      <c r="I14" s="13">
        <v>0</v>
      </c>
      <c r="J14" s="13">
        <f>H14+I14</f>
        <v>11</v>
      </c>
      <c r="K14" s="13">
        <f>H14*F14</f>
        <v>668485.62</v>
      </c>
      <c r="L14" s="13">
        <f>I14*F14</f>
        <v>0</v>
      </c>
      <c r="M14" s="107">
        <f>J14*F14</f>
        <v>668485.62</v>
      </c>
      <c r="N14" s="103">
        <f t="shared" si="0"/>
        <v>1</v>
      </c>
    </row>
    <row r="15" spans="1:14" ht="34.5" customHeight="1" x14ac:dyDescent="0.2">
      <c r="A15" s="106" t="s">
        <v>29</v>
      </c>
      <c r="B15" s="11" t="s">
        <v>30</v>
      </c>
      <c r="C15" s="12" t="s">
        <v>31</v>
      </c>
      <c r="D15" s="13">
        <v>18</v>
      </c>
      <c r="E15" s="14">
        <f>[1]CPUs!I17</f>
        <v>312.24</v>
      </c>
      <c r="F15" s="14">
        <v>386.02</v>
      </c>
      <c r="G15" s="14">
        <f>D15*F15</f>
        <v>6948.36</v>
      </c>
      <c r="H15" s="15">
        <v>18</v>
      </c>
      <c r="I15" s="13">
        <v>0</v>
      </c>
      <c r="J15" s="13">
        <f>H15+I15</f>
        <v>18</v>
      </c>
      <c r="K15" s="13">
        <f>H15*F15</f>
        <v>6948.36</v>
      </c>
      <c r="L15" s="13">
        <f>I15*F15</f>
        <v>0</v>
      </c>
      <c r="M15" s="107">
        <f>J15*F15</f>
        <v>6948.36</v>
      </c>
      <c r="N15" s="103">
        <f t="shared" si="0"/>
        <v>1</v>
      </c>
    </row>
    <row r="16" spans="1:14" ht="17.25" customHeight="1" x14ac:dyDescent="0.2">
      <c r="A16" s="106" t="s">
        <v>32</v>
      </c>
      <c r="B16" s="11" t="s">
        <v>33</v>
      </c>
      <c r="C16" s="12" t="s">
        <v>28</v>
      </c>
      <c r="D16" s="13">
        <v>1</v>
      </c>
      <c r="E16" s="14">
        <f>[1]CPUs!I29</f>
        <v>254.59</v>
      </c>
      <c r="F16" s="14">
        <v>294.53517099999999</v>
      </c>
      <c r="G16" s="14">
        <f>D16*F16</f>
        <v>294.53517099999999</v>
      </c>
      <c r="H16" s="15">
        <v>1</v>
      </c>
      <c r="I16" s="13">
        <v>0</v>
      </c>
      <c r="J16" s="13">
        <f>H16+I16</f>
        <v>1</v>
      </c>
      <c r="K16" s="13">
        <f>(H16*F16)</f>
        <v>294.53517099999999</v>
      </c>
      <c r="L16" s="13">
        <f>I16*F16</f>
        <v>0</v>
      </c>
      <c r="M16" s="107">
        <f>(J16*F16)</f>
        <v>294.53517099999999</v>
      </c>
      <c r="N16" s="103">
        <f t="shared" si="0"/>
        <v>1</v>
      </c>
    </row>
    <row r="17" spans="1:14" ht="16.5" customHeight="1" x14ac:dyDescent="0.2">
      <c r="A17" s="106" t="s">
        <v>34</v>
      </c>
      <c r="B17" s="11" t="s">
        <v>35</v>
      </c>
      <c r="C17" s="12" t="s">
        <v>13</v>
      </c>
      <c r="D17" s="13">
        <v>1</v>
      </c>
      <c r="E17" s="14">
        <f>[1]CPUs!I35</f>
        <v>38105.08</v>
      </c>
      <c r="F17" s="14">
        <v>47109.31</v>
      </c>
      <c r="G17" s="14">
        <f>D17*F17</f>
        <v>47109.31</v>
      </c>
      <c r="H17" s="13">
        <v>0.43496731325506499</v>
      </c>
      <c r="I17" s="13">
        <v>0</v>
      </c>
      <c r="J17" s="13">
        <f>H17+I17</f>
        <v>0.43496731325506499</v>
      </c>
      <c r="K17" s="13">
        <f>H17*F17</f>
        <v>20491.009999999966</v>
      </c>
      <c r="L17" s="13">
        <f>I17*F17</f>
        <v>0</v>
      </c>
      <c r="M17" s="107">
        <f>J17*F17</f>
        <v>20491.009999999966</v>
      </c>
      <c r="N17" s="103">
        <f t="shared" si="0"/>
        <v>0.43496731325506499</v>
      </c>
    </row>
    <row r="18" spans="1:14" ht="24" customHeight="1" x14ac:dyDescent="0.2">
      <c r="A18" s="108" t="s">
        <v>36</v>
      </c>
      <c r="B18" s="16" t="s">
        <v>37</v>
      </c>
      <c r="C18" s="16"/>
      <c r="D18" s="17"/>
      <c r="E18" s="16"/>
      <c r="F18" s="16"/>
      <c r="G18" s="18">
        <f>SUM(G19:G25)</f>
        <v>73693.595420809346</v>
      </c>
      <c r="H18" s="17"/>
      <c r="I18" s="19"/>
      <c r="J18" s="20"/>
      <c r="K18" s="20">
        <f>SUM(K19:K25)</f>
        <v>73693.595420809317</v>
      </c>
      <c r="L18" s="20">
        <f>SUM(L19:L25)</f>
        <v>0</v>
      </c>
      <c r="M18" s="109">
        <f>SUM(M19:M25)</f>
        <v>73693.595420809317</v>
      </c>
      <c r="N18" s="102">
        <f t="shared" si="0"/>
        <v>0.99999999999999956</v>
      </c>
    </row>
    <row r="19" spans="1:14" ht="32.25" customHeight="1" x14ac:dyDescent="0.2">
      <c r="A19" s="106" t="s">
        <v>38</v>
      </c>
      <c r="B19" s="11" t="s">
        <v>39</v>
      </c>
      <c r="C19" s="12" t="s">
        <v>31</v>
      </c>
      <c r="D19" s="13">
        <v>31.44</v>
      </c>
      <c r="E19" s="14">
        <f>[1]CPUs!I47</f>
        <v>573.22715839622401</v>
      </c>
      <c r="F19" s="14">
        <v>708.68073592525172</v>
      </c>
      <c r="G19" s="14">
        <f>D19*F19</f>
        <v>22280.922337489916</v>
      </c>
      <c r="H19" s="13">
        <v>31.439999999999998</v>
      </c>
      <c r="I19" s="13">
        <v>0</v>
      </c>
      <c r="J19" s="13">
        <f t="shared" ref="J19:J25" si="1">H19+I19</f>
        <v>31.439999999999998</v>
      </c>
      <c r="K19" s="13">
        <f t="shared" ref="K19:K25" si="2">H19*F19</f>
        <v>22280.922337489912</v>
      </c>
      <c r="L19" s="13">
        <f t="shared" ref="L19:L25" si="3">I19*F19</f>
        <v>0</v>
      </c>
      <c r="M19" s="107">
        <f t="shared" ref="M19:M25" si="4">J19*F19</f>
        <v>22280.922337489912</v>
      </c>
      <c r="N19" s="103">
        <f t="shared" si="0"/>
        <v>0.99999999999999989</v>
      </c>
    </row>
    <row r="20" spans="1:14" ht="33" customHeight="1" x14ac:dyDescent="0.2">
      <c r="A20" s="106" t="s">
        <v>40</v>
      </c>
      <c r="B20" s="11" t="s">
        <v>41</v>
      </c>
      <c r="C20" s="12" t="s">
        <v>31</v>
      </c>
      <c r="D20" s="13">
        <v>17.04</v>
      </c>
      <c r="E20" s="14">
        <f>[1]CPUs!I98</f>
        <v>978.91286938692781</v>
      </c>
      <c r="F20" s="14">
        <v>1210.2299804230588</v>
      </c>
      <c r="G20" s="14">
        <f>(D20*F20)</f>
        <v>20622.318866408921</v>
      </c>
      <c r="H20" s="13">
        <v>17.04</v>
      </c>
      <c r="I20" s="13">
        <v>0</v>
      </c>
      <c r="J20" s="13">
        <f t="shared" si="1"/>
        <v>17.04</v>
      </c>
      <c r="K20" s="13">
        <f>(H20*F20)</f>
        <v>20622.318866408921</v>
      </c>
      <c r="L20" s="13">
        <f t="shared" si="3"/>
        <v>0</v>
      </c>
      <c r="M20" s="107">
        <f>(J20*F20)</f>
        <v>20622.318866408921</v>
      </c>
      <c r="N20" s="103">
        <f t="shared" ref="N20:N93" si="5">M20/G20</f>
        <v>1</v>
      </c>
    </row>
    <row r="21" spans="1:14" ht="26.25" customHeight="1" x14ac:dyDescent="0.2">
      <c r="A21" s="106" t="s">
        <v>42</v>
      </c>
      <c r="B21" s="11" t="s">
        <v>43</v>
      </c>
      <c r="C21" s="12" t="s">
        <v>31</v>
      </c>
      <c r="D21" s="13">
        <v>6</v>
      </c>
      <c r="E21" s="14">
        <f>[1]CPUs!I169</f>
        <v>905.00213229131214</v>
      </c>
      <c r="F21" s="14">
        <v>1118.8541361517491</v>
      </c>
      <c r="G21" s="14">
        <f>D21*F21</f>
        <v>6713.1248169104947</v>
      </c>
      <c r="H21" s="13">
        <v>6</v>
      </c>
      <c r="I21" s="13">
        <v>0</v>
      </c>
      <c r="J21" s="13">
        <f t="shared" si="1"/>
        <v>6</v>
      </c>
      <c r="K21" s="13">
        <f t="shared" si="2"/>
        <v>6713.1248169104947</v>
      </c>
      <c r="L21" s="13">
        <f t="shared" si="3"/>
        <v>0</v>
      </c>
      <c r="M21" s="107">
        <f>J21*F21</f>
        <v>6713.1248169104947</v>
      </c>
      <c r="N21" s="103">
        <f t="shared" si="5"/>
        <v>1</v>
      </c>
    </row>
    <row r="22" spans="1:14" ht="35.25" customHeight="1" x14ac:dyDescent="0.2">
      <c r="A22" s="106" t="s">
        <v>44</v>
      </c>
      <c r="B22" s="11" t="s">
        <v>45</v>
      </c>
      <c r="C22" s="12" t="s">
        <v>46</v>
      </c>
      <c r="D22" s="13">
        <v>275.08</v>
      </c>
      <c r="E22" s="13">
        <f>[1]CPUs!I217</f>
        <v>51.51</v>
      </c>
      <c r="F22" s="13">
        <v>63.68</v>
      </c>
      <c r="G22" s="14">
        <f>D22*F22</f>
        <v>17517.094399999998</v>
      </c>
      <c r="H22" s="13">
        <v>275.08</v>
      </c>
      <c r="I22" s="13">
        <v>0</v>
      </c>
      <c r="J22" s="13">
        <f t="shared" si="1"/>
        <v>275.08</v>
      </c>
      <c r="K22" s="13">
        <f t="shared" si="2"/>
        <v>17517.094399999998</v>
      </c>
      <c r="L22" s="13">
        <f t="shared" si="3"/>
        <v>0</v>
      </c>
      <c r="M22" s="107">
        <f>J22*F22</f>
        <v>17517.094399999998</v>
      </c>
      <c r="N22" s="103">
        <f t="shared" si="5"/>
        <v>1</v>
      </c>
    </row>
    <row r="23" spans="1:14" x14ac:dyDescent="0.2">
      <c r="A23" s="106" t="s">
        <v>47</v>
      </c>
      <c r="B23" s="11" t="s">
        <v>48</v>
      </c>
      <c r="C23" s="12" t="s">
        <v>31</v>
      </c>
      <c r="D23" s="13">
        <v>40.5</v>
      </c>
      <c r="E23" s="13">
        <f>[1]CPUs!I233</f>
        <v>100.66</v>
      </c>
      <c r="F23" s="13">
        <v>124.44</v>
      </c>
      <c r="G23" s="14">
        <f>D23*F23</f>
        <v>5039.82</v>
      </c>
      <c r="H23" s="13">
        <v>40.5</v>
      </c>
      <c r="I23" s="13">
        <v>0</v>
      </c>
      <c r="J23" s="13">
        <f t="shared" si="1"/>
        <v>40.5</v>
      </c>
      <c r="K23" s="13">
        <f t="shared" si="2"/>
        <v>5039.82</v>
      </c>
      <c r="L23" s="13">
        <f t="shared" si="3"/>
        <v>0</v>
      </c>
      <c r="M23" s="107">
        <f>J23*F23</f>
        <v>5039.82</v>
      </c>
      <c r="N23" s="103">
        <f>M23/G23</f>
        <v>1</v>
      </c>
    </row>
    <row r="24" spans="1:14" ht="39" customHeight="1" x14ac:dyDescent="0.2">
      <c r="A24" s="106" t="s">
        <v>49</v>
      </c>
      <c r="B24" s="11" t="s">
        <v>50</v>
      </c>
      <c r="C24" s="12" t="s">
        <v>31</v>
      </c>
      <c r="D24" s="13">
        <v>1876.5</v>
      </c>
      <c r="E24" s="13">
        <f>[1]CPUs!I247</f>
        <v>0.32</v>
      </c>
      <c r="F24" s="13">
        <v>0.39</v>
      </c>
      <c r="G24" s="14">
        <f>(D24*F24)</f>
        <v>731.83500000000004</v>
      </c>
      <c r="H24" s="13">
        <v>1876.5</v>
      </c>
      <c r="I24" s="13">
        <v>0</v>
      </c>
      <c r="J24" s="13">
        <f t="shared" si="1"/>
        <v>1876.5</v>
      </c>
      <c r="K24" s="13">
        <f>(H24*F24)</f>
        <v>731.83500000000004</v>
      </c>
      <c r="L24" s="13">
        <f t="shared" si="3"/>
        <v>0</v>
      </c>
      <c r="M24" s="107">
        <f>(J24*F24)</f>
        <v>731.83500000000004</v>
      </c>
      <c r="N24" s="103">
        <f t="shared" si="5"/>
        <v>1</v>
      </c>
    </row>
    <row r="25" spans="1:14" ht="51.95" customHeight="1" x14ac:dyDescent="0.2">
      <c r="A25" s="106" t="s">
        <v>51</v>
      </c>
      <c r="B25" s="11" t="s">
        <v>52</v>
      </c>
      <c r="C25" s="12" t="s">
        <v>28</v>
      </c>
      <c r="D25" s="13">
        <v>1</v>
      </c>
      <c r="E25" s="13">
        <f>[1]CPUs!I256</f>
        <v>637.78</v>
      </c>
      <c r="F25" s="13">
        <v>788.48</v>
      </c>
      <c r="G25" s="14">
        <f>D25*F25</f>
        <v>788.48</v>
      </c>
      <c r="H25" s="13">
        <v>1</v>
      </c>
      <c r="I25" s="13">
        <v>0</v>
      </c>
      <c r="J25" s="13">
        <f t="shared" si="1"/>
        <v>1</v>
      </c>
      <c r="K25" s="13">
        <f t="shared" si="2"/>
        <v>788.48</v>
      </c>
      <c r="L25" s="13">
        <f t="shared" si="3"/>
        <v>0</v>
      </c>
      <c r="M25" s="107">
        <f t="shared" si="4"/>
        <v>788.48</v>
      </c>
      <c r="N25" s="103">
        <f t="shared" si="5"/>
        <v>1</v>
      </c>
    </row>
    <row r="26" spans="1:14" ht="24" customHeight="1" x14ac:dyDescent="0.2">
      <c r="A26" s="108" t="s">
        <v>53</v>
      </c>
      <c r="B26" s="16" t="s">
        <v>54</v>
      </c>
      <c r="C26" s="16"/>
      <c r="D26" s="20"/>
      <c r="E26" s="19"/>
      <c r="F26" s="19"/>
      <c r="G26" s="20">
        <f>SUM(G27:G28)</f>
        <v>6178.2861999999996</v>
      </c>
      <c r="H26" s="20"/>
      <c r="I26" s="19"/>
      <c r="J26" s="20"/>
      <c r="K26" s="20">
        <f>SUM(K27:K28)</f>
        <v>6178.2861999999996</v>
      </c>
      <c r="L26" s="20">
        <f>SUM(L27:L28)</f>
        <v>0</v>
      </c>
      <c r="M26" s="109">
        <f>SUM(M27:M28)</f>
        <v>6178.2861999999996</v>
      </c>
      <c r="N26" s="102">
        <f>M26/G26</f>
        <v>1</v>
      </c>
    </row>
    <row r="27" spans="1:14" ht="29.25" customHeight="1" x14ac:dyDescent="0.2">
      <c r="A27" s="106" t="s">
        <v>55</v>
      </c>
      <c r="B27" s="11" t="s">
        <v>56</v>
      </c>
      <c r="C27" s="12" t="s">
        <v>31</v>
      </c>
      <c r="D27" s="13">
        <v>255.8</v>
      </c>
      <c r="E27" s="13">
        <f>[1]CPUs!I279</f>
        <v>16.239999999999998</v>
      </c>
      <c r="F27" s="13">
        <v>20.07</v>
      </c>
      <c r="G27" s="14">
        <f>(D27*F27)</f>
        <v>5133.9059999999999</v>
      </c>
      <c r="H27" s="13">
        <v>255.8</v>
      </c>
      <c r="I27" s="13">
        <v>0</v>
      </c>
      <c r="J27" s="13">
        <f>H27+I27</f>
        <v>255.8</v>
      </c>
      <c r="K27" s="13">
        <f>(H27*F27)</f>
        <v>5133.9059999999999</v>
      </c>
      <c r="L27" s="13">
        <f>I27*F27</f>
        <v>0</v>
      </c>
      <c r="M27" s="107">
        <f>(J27*F27)</f>
        <v>5133.9059999999999</v>
      </c>
      <c r="N27" s="103">
        <f t="shared" si="5"/>
        <v>1</v>
      </c>
    </row>
    <row r="28" spans="1:14" ht="29.25" customHeight="1" x14ac:dyDescent="0.2">
      <c r="A28" s="106" t="s">
        <v>57</v>
      </c>
      <c r="B28" s="11" t="s">
        <v>58</v>
      </c>
      <c r="C28" s="12" t="s">
        <v>59</v>
      </c>
      <c r="D28" s="13">
        <v>18.739999999999998</v>
      </c>
      <c r="E28" s="13">
        <f>[1]CPUs!I289</f>
        <v>45.08</v>
      </c>
      <c r="F28" s="13">
        <v>55.73</v>
      </c>
      <c r="G28" s="14">
        <f>(D28*F28)</f>
        <v>1044.3801999999998</v>
      </c>
      <c r="H28" s="13">
        <v>18.739999999999998</v>
      </c>
      <c r="I28" s="13">
        <v>0</v>
      </c>
      <c r="J28" s="13">
        <f>H28+I28</f>
        <v>18.739999999999998</v>
      </c>
      <c r="K28" s="13">
        <f>H28*F28</f>
        <v>1044.3801999999998</v>
      </c>
      <c r="L28" s="13">
        <f>I28*F28</f>
        <v>0</v>
      </c>
      <c r="M28" s="107">
        <f>(J28*F28)</f>
        <v>1044.3801999999998</v>
      </c>
      <c r="N28" s="103">
        <f t="shared" si="5"/>
        <v>1</v>
      </c>
    </row>
    <row r="29" spans="1:14" ht="24" customHeight="1" x14ac:dyDescent="0.2">
      <c r="A29" s="108" t="s">
        <v>60</v>
      </c>
      <c r="B29" s="16" t="s">
        <v>61</v>
      </c>
      <c r="C29" s="16"/>
      <c r="D29" s="20"/>
      <c r="E29" s="19"/>
      <c r="F29" s="19"/>
      <c r="G29" s="20">
        <f>G30+G35+G39</f>
        <v>1651945.9748911783</v>
      </c>
      <c r="H29" s="20"/>
      <c r="I29" s="19"/>
      <c r="J29" s="20"/>
      <c r="K29" s="20">
        <f>K30+K35+K39</f>
        <v>1630278.1569226</v>
      </c>
      <c r="L29" s="20">
        <f>L30+L35+L39</f>
        <v>21667.6594680784</v>
      </c>
      <c r="M29" s="109">
        <f>M30+M35+M39</f>
        <v>1651945.9841381784</v>
      </c>
      <c r="N29" s="102">
        <f t="shared" si="5"/>
        <v>1.0000000055976408</v>
      </c>
    </row>
    <row r="30" spans="1:14" ht="24" customHeight="1" x14ac:dyDescent="0.2">
      <c r="A30" s="108" t="s">
        <v>62</v>
      </c>
      <c r="B30" s="16" t="s">
        <v>63</v>
      </c>
      <c r="C30" s="16"/>
      <c r="D30" s="20"/>
      <c r="E30" s="19"/>
      <c r="F30" s="19"/>
      <c r="G30" s="20">
        <f>SUM(G31:G34)</f>
        <v>380317.17500300007</v>
      </c>
      <c r="H30" s="20"/>
      <c r="I30" s="19"/>
      <c r="J30" s="20"/>
      <c r="K30" s="20">
        <f>SUM(K31:K34)</f>
        <v>380317.18361000001</v>
      </c>
      <c r="L30" s="20">
        <f>SUM(L31:L34)</f>
        <v>0</v>
      </c>
      <c r="M30" s="109">
        <f>SUM(M31:M34)</f>
        <v>380317.18361000001</v>
      </c>
      <c r="N30" s="102">
        <f t="shared" si="5"/>
        <v>1.0000000226311103</v>
      </c>
    </row>
    <row r="31" spans="1:14" ht="65.099999999999994" customHeight="1" x14ac:dyDescent="0.2">
      <c r="A31" s="106" t="s">
        <v>64</v>
      </c>
      <c r="B31" s="11" t="s">
        <v>65</v>
      </c>
      <c r="C31" s="12" t="s">
        <v>59</v>
      </c>
      <c r="D31" s="13">
        <v>164.1</v>
      </c>
      <c r="E31" s="13">
        <f>[1]CPUs!I296</f>
        <v>15.85</v>
      </c>
      <c r="F31" s="13">
        <v>19.59</v>
      </c>
      <c r="G31" s="14">
        <f>D31*F31</f>
        <v>3214.7190000000001</v>
      </c>
      <c r="H31" s="13">
        <v>164.1</v>
      </c>
      <c r="I31" s="13">
        <v>0</v>
      </c>
      <c r="J31" s="13">
        <f>H31+I31</f>
        <v>164.1</v>
      </c>
      <c r="K31" s="13">
        <f>H31*F31</f>
        <v>3214.7190000000001</v>
      </c>
      <c r="L31" s="13">
        <f>I31*F31</f>
        <v>0</v>
      </c>
      <c r="M31" s="107">
        <f>J31*F31</f>
        <v>3214.7190000000001</v>
      </c>
      <c r="N31" s="103">
        <f t="shared" si="5"/>
        <v>1</v>
      </c>
    </row>
    <row r="32" spans="1:14" ht="65.099999999999994" customHeight="1" x14ac:dyDescent="0.2">
      <c r="A32" s="106" t="s">
        <v>66</v>
      </c>
      <c r="B32" s="11" t="s">
        <v>67</v>
      </c>
      <c r="C32" s="12" t="s">
        <v>59</v>
      </c>
      <c r="D32" s="13">
        <v>3849.76</v>
      </c>
      <c r="E32" s="13">
        <f>[1]CPUs!I306</f>
        <v>29.43</v>
      </c>
      <c r="F32" s="13">
        <v>36.380000000000003</v>
      </c>
      <c r="G32" s="14">
        <f>D32*F32</f>
        <v>140054.26880000002</v>
      </c>
      <c r="H32" s="13">
        <v>3849.76</v>
      </c>
      <c r="I32" s="13">
        <v>0</v>
      </c>
      <c r="J32" s="13">
        <f>H32+I32</f>
        <v>3849.76</v>
      </c>
      <c r="K32" s="13">
        <f>H32*F32</f>
        <v>140054.26880000002</v>
      </c>
      <c r="L32" s="13">
        <f>I32*F32</f>
        <v>0</v>
      </c>
      <c r="M32" s="107">
        <f>J32*F32</f>
        <v>140054.26880000002</v>
      </c>
      <c r="N32" s="103">
        <f t="shared" si="5"/>
        <v>1</v>
      </c>
    </row>
    <row r="33" spans="1:14" ht="39" customHeight="1" x14ac:dyDescent="0.2">
      <c r="A33" s="106" t="s">
        <v>68</v>
      </c>
      <c r="B33" s="11" t="s">
        <v>69</v>
      </c>
      <c r="C33" s="12" t="s">
        <v>70</v>
      </c>
      <c r="D33" s="13">
        <v>70365.421950000004</v>
      </c>
      <c r="E33" s="13">
        <f>[1]CPUs!I316</f>
        <v>2.16</v>
      </c>
      <c r="F33" s="13">
        <v>2.67</v>
      </c>
      <c r="G33" s="14">
        <f>D33*F33</f>
        <v>187875.6766065</v>
      </c>
      <c r="H33" s="13">
        <v>70365.425000000003</v>
      </c>
      <c r="I33" s="13">
        <v>0</v>
      </c>
      <c r="J33" s="13">
        <f>H33+I33</f>
        <v>70365.425000000003</v>
      </c>
      <c r="K33" s="13">
        <f>H33*F33</f>
        <v>187875.68475000001</v>
      </c>
      <c r="L33" s="13">
        <f>I33*F33</f>
        <v>0</v>
      </c>
      <c r="M33" s="107">
        <f>J33*F33</f>
        <v>187875.68475000001</v>
      </c>
      <c r="N33" s="103">
        <f t="shared" si="5"/>
        <v>1.0000000433451535</v>
      </c>
    </row>
    <row r="34" spans="1:14" ht="51.95" customHeight="1" x14ac:dyDescent="0.2">
      <c r="A34" s="106" t="s">
        <v>71</v>
      </c>
      <c r="B34" s="11" t="s">
        <v>72</v>
      </c>
      <c r="C34" s="12" t="s">
        <v>59</v>
      </c>
      <c r="D34" s="13">
        <v>5304.4779500000004</v>
      </c>
      <c r="E34" s="13">
        <f>[1]CPUs!I323</f>
        <v>7.5</v>
      </c>
      <c r="F34" s="13">
        <v>9.27</v>
      </c>
      <c r="G34" s="14">
        <f>(D34*F34)</f>
        <v>49172.510596500004</v>
      </c>
      <c r="H34" s="13">
        <v>5304.4779999999992</v>
      </c>
      <c r="I34" s="13">
        <v>0</v>
      </c>
      <c r="J34" s="13">
        <f>H34+I34</f>
        <v>5304.4779999999992</v>
      </c>
      <c r="K34" s="13">
        <f>H34*F34</f>
        <v>49172.51105999999</v>
      </c>
      <c r="L34" s="13">
        <f>(I34*F34)</f>
        <v>0</v>
      </c>
      <c r="M34" s="107">
        <f>(J34*F34)</f>
        <v>49172.51105999999</v>
      </c>
      <c r="N34" s="103">
        <f t="shared" si="5"/>
        <v>1.000000009425998</v>
      </c>
    </row>
    <row r="35" spans="1:14" ht="24" customHeight="1" x14ac:dyDescent="0.2">
      <c r="A35" s="108" t="s">
        <v>73</v>
      </c>
      <c r="B35" s="16" t="s">
        <v>74</v>
      </c>
      <c r="C35" s="16"/>
      <c r="D35" s="20"/>
      <c r="E35" s="19"/>
      <c r="F35" s="19"/>
      <c r="G35" s="20">
        <f>SUM(G36:G38)</f>
        <v>422399.37</v>
      </c>
      <c r="H35" s="20"/>
      <c r="I35" s="19"/>
      <c r="J35" s="20"/>
      <c r="K35" s="20">
        <f>SUM(K36:K38)</f>
        <v>422399.37</v>
      </c>
      <c r="L35" s="20">
        <f>SUM(L36:L38)</f>
        <v>0</v>
      </c>
      <c r="M35" s="109">
        <f>SUM(M36:M38)</f>
        <v>422399.37</v>
      </c>
      <c r="N35" s="102">
        <f t="shared" si="5"/>
        <v>1</v>
      </c>
    </row>
    <row r="36" spans="1:14" ht="51.95" customHeight="1" x14ac:dyDescent="0.2">
      <c r="A36" s="106" t="s">
        <v>75</v>
      </c>
      <c r="B36" s="11" t="s">
        <v>76</v>
      </c>
      <c r="C36" s="12" t="s">
        <v>46</v>
      </c>
      <c r="D36" s="13">
        <v>3789</v>
      </c>
      <c r="E36" s="13">
        <f>[1]CPUs!I332</f>
        <v>88.4</v>
      </c>
      <c r="F36" s="13">
        <v>109.28</v>
      </c>
      <c r="G36" s="13">
        <f>D36*F36</f>
        <v>414061.92</v>
      </c>
      <c r="H36" s="13">
        <v>3789</v>
      </c>
      <c r="I36" s="13">
        <v>0</v>
      </c>
      <c r="J36" s="13">
        <f>H36+I36</f>
        <v>3789</v>
      </c>
      <c r="K36" s="13">
        <f>H36*F36</f>
        <v>414061.92</v>
      </c>
      <c r="L36" s="13">
        <f>I36*F36</f>
        <v>0</v>
      </c>
      <c r="M36" s="107">
        <f>J36*F36</f>
        <v>414061.92</v>
      </c>
      <c r="N36" s="103">
        <f t="shared" si="5"/>
        <v>1</v>
      </c>
    </row>
    <row r="37" spans="1:14" ht="32.1" hidden="1" customHeight="1" x14ac:dyDescent="0.2">
      <c r="A37" s="106" t="s">
        <v>77</v>
      </c>
      <c r="B37" s="11" t="s">
        <v>78</v>
      </c>
      <c r="C37" s="12" t="s">
        <v>79</v>
      </c>
      <c r="D37" s="13">
        <v>0</v>
      </c>
      <c r="E37" s="13">
        <f>[1]CPUs!I347</f>
        <v>10.48</v>
      </c>
      <c r="F37" s="13">
        <f>[1]CPUs!J352</f>
        <v>12.95</v>
      </c>
      <c r="G37" s="13">
        <f>(D37*F37)</f>
        <v>0</v>
      </c>
      <c r="H37" s="13">
        <v>0</v>
      </c>
      <c r="I37" s="13">
        <v>0</v>
      </c>
      <c r="J37" s="13">
        <f>H37+I37</f>
        <v>0</v>
      </c>
      <c r="K37" s="13">
        <f>H37*F37</f>
        <v>0</v>
      </c>
      <c r="L37" s="13">
        <f>I37*F37</f>
        <v>0</v>
      </c>
      <c r="M37" s="107">
        <f>J37*F37</f>
        <v>0</v>
      </c>
      <c r="N37" s="103"/>
    </row>
    <row r="38" spans="1:14" ht="32.1" customHeight="1" x14ac:dyDescent="0.2">
      <c r="A38" s="106" t="s">
        <v>80</v>
      </c>
      <c r="B38" s="11" t="s">
        <v>81</v>
      </c>
      <c r="C38" s="12" t="s">
        <v>79</v>
      </c>
      <c r="D38" s="13">
        <v>505.3</v>
      </c>
      <c r="E38" s="13">
        <f>[1]CPUs!I355</f>
        <v>13.35</v>
      </c>
      <c r="F38" s="13">
        <v>16.5</v>
      </c>
      <c r="G38" s="13">
        <f>(D38*F38)</f>
        <v>8337.4500000000007</v>
      </c>
      <c r="H38" s="13">
        <v>505.30000000000007</v>
      </c>
      <c r="I38" s="13">
        <v>0</v>
      </c>
      <c r="J38" s="13">
        <f>H38+I38</f>
        <v>505.30000000000007</v>
      </c>
      <c r="K38" s="13">
        <f>(H38*F38)</f>
        <v>8337.4500000000007</v>
      </c>
      <c r="L38" s="13">
        <f>I38*F38</f>
        <v>0</v>
      </c>
      <c r="M38" s="107">
        <f>(J38*F38)</f>
        <v>8337.4500000000007</v>
      </c>
      <c r="N38" s="103">
        <f t="shared" si="5"/>
        <v>1</v>
      </c>
    </row>
    <row r="39" spans="1:14" ht="24" customHeight="1" x14ac:dyDescent="0.2">
      <c r="A39" s="108" t="s">
        <v>82</v>
      </c>
      <c r="B39" s="16" t="s">
        <v>83</v>
      </c>
      <c r="C39" s="16"/>
      <c r="D39" s="20"/>
      <c r="E39" s="19"/>
      <c r="F39" s="19"/>
      <c r="G39" s="20">
        <f>G40+G47</f>
        <v>849229.42988817836</v>
      </c>
      <c r="H39" s="20"/>
      <c r="I39" s="19"/>
      <c r="J39" s="20"/>
      <c r="K39" s="20">
        <f>K40+K47+0.01</f>
        <v>827561.60331259994</v>
      </c>
      <c r="L39" s="20">
        <f>L40+L47</f>
        <v>21667.6594680784</v>
      </c>
      <c r="M39" s="109">
        <f>M40+M47</f>
        <v>849229.43052817835</v>
      </c>
      <c r="N39" s="102">
        <f t="shared" si="5"/>
        <v>1.0000000007536243</v>
      </c>
    </row>
    <row r="40" spans="1:14" ht="24" customHeight="1" x14ac:dyDescent="0.2">
      <c r="A40" s="108" t="s">
        <v>84</v>
      </c>
      <c r="B40" s="16" t="s">
        <v>85</v>
      </c>
      <c r="C40" s="16"/>
      <c r="D40" s="20"/>
      <c r="E40" s="19"/>
      <c r="F40" s="19"/>
      <c r="G40" s="20">
        <f>SUM(G41:G46)</f>
        <v>306342.41395007842</v>
      </c>
      <c r="H40" s="20"/>
      <c r="I40" s="19"/>
      <c r="J40" s="20"/>
      <c r="K40" s="20">
        <f>SUM(K41:K46)-0.01</f>
        <v>298433.00584449997</v>
      </c>
      <c r="L40" s="20">
        <f>SUM(L41:L46)</f>
        <v>7909.2348230783991</v>
      </c>
      <c r="M40" s="109">
        <f>SUM(M41:M46)</f>
        <v>306342.40841507842</v>
      </c>
      <c r="N40" s="102">
        <f t="shared" si="5"/>
        <v>0.99999998193198281</v>
      </c>
    </row>
    <row r="41" spans="1:14" ht="51.95" customHeight="1" x14ac:dyDescent="0.2">
      <c r="A41" s="106" t="s">
        <v>86</v>
      </c>
      <c r="B41" s="11" t="s">
        <v>87</v>
      </c>
      <c r="C41" s="12" t="s">
        <v>46</v>
      </c>
      <c r="D41" s="13">
        <v>686.4</v>
      </c>
      <c r="E41" s="13">
        <f>[1]CPUs!I365</f>
        <v>127.94</v>
      </c>
      <c r="F41" s="13">
        <v>158.16999999999999</v>
      </c>
      <c r="G41" s="13">
        <f>D41*F41</f>
        <v>108567.88799999999</v>
      </c>
      <c r="H41" s="13">
        <v>686.4</v>
      </c>
      <c r="I41" s="13">
        <v>0</v>
      </c>
      <c r="J41" s="13">
        <f t="shared" ref="J41:J46" si="6">H41+I41</f>
        <v>686.4</v>
      </c>
      <c r="K41" s="13">
        <f>H41*F41</f>
        <v>108567.88799999999</v>
      </c>
      <c r="L41" s="13">
        <f t="shared" ref="L41:L46" si="7">I41*F41</f>
        <v>0</v>
      </c>
      <c r="M41" s="107">
        <f>J41*F41</f>
        <v>108567.88799999999</v>
      </c>
      <c r="N41" s="103">
        <f t="shared" si="5"/>
        <v>1</v>
      </c>
    </row>
    <row r="42" spans="1:14" ht="30.95" customHeight="1" x14ac:dyDescent="0.2">
      <c r="A42" s="106" t="s">
        <v>88</v>
      </c>
      <c r="B42" s="11" t="s">
        <v>89</v>
      </c>
      <c r="C42" s="12" t="s">
        <v>59</v>
      </c>
      <c r="D42" s="13">
        <v>183.89160000000001</v>
      </c>
      <c r="E42" s="13">
        <f>[1]CPUs!I379</f>
        <v>0</v>
      </c>
      <c r="F42" s="13">
        <v>40.98</v>
      </c>
      <c r="G42" s="13">
        <f>(D42*F42)</f>
        <v>7535.8777680000003</v>
      </c>
      <c r="H42" s="13">
        <v>183.89160000000001</v>
      </c>
      <c r="I42" s="13">
        <v>0</v>
      </c>
      <c r="J42" s="13">
        <f t="shared" si="6"/>
        <v>183.89160000000001</v>
      </c>
      <c r="K42" s="13">
        <f>(H42*F42)</f>
        <v>7535.8777680000003</v>
      </c>
      <c r="L42" s="13">
        <f t="shared" si="7"/>
        <v>0</v>
      </c>
      <c r="M42" s="107">
        <f>(J42*F42)</f>
        <v>7535.8777680000003</v>
      </c>
      <c r="N42" s="103">
        <f>M42/G42</f>
        <v>1</v>
      </c>
    </row>
    <row r="43" spans="1:14" ht="30.95" customHeight="1" x14ac:dyDescent="0.2">
      <c r="A43" s="110" t="s">
        <v>831</v>
      </c>
      <c r="B43" s="55" t="s">
        <v>710</v>
      </c>
      <c r="C43" s="56" t="s">
        <v>59</v>
      </c>
      <c r="D43" s="57">
        <v>227.83130000000003</v>
      </c>
      <c r="E43" s="13"/>
      <c r="F43" s="57">
        <v>55.35</v>
      </c>
      <c r="G43" s="13">
        <f>(D43*F43)</f>
        <v>12610.462455000003</v>
      </c>
      <c r="H43" s="13">
        <v>174.32835</v>
      </c>
      <c r="I43" s="13">
        <v>53.5</v>
      </c>
      <c r="J43" s="13">
        <v>227.8312</v>
      </c>
      <c r="K43" s="13">
        <f>(H43*F43)</f>
        <v>9649.0741725000007</v>
      </c>
      <c r="L43" s="13">
        <f t="shared" si="7"/>
        <v>2961.2249999999999</v>
      </c>
      <c r="M43" s="107">
        <f>(J43*F43)</f>
        <v>12610.456920000001</v>
      </c>
      <c r="N43" s="103">
        <f>M43/G43</f>
        <v>0.99999956107874544</v>
      </c>
    </row>
    <row r="44" spans="1:14" ht="42.75" customHeight="1" x14ac:dyDescent="0.2">
      <c r="A44" s="110" t="s">
        <v>832</v>
      </c>
      <c r="B44" s="55" t="s">
        <v>833</v>
      </c>
      <c r="C44" s="56" t="s">
        <v>46</v>
      </c>
      <c r="D44" s="57">
        <v>980</v>
      </c>
      <c r="E44" s="13"/>
      <c r="F44" s="57">
        <v>152.5</v>
      </c>
      <c r="G44" s="13">
        <f>D44*F44</f>
        <v>149450</v>
      </c>
      <c r="H44" s="13">
        <v>980</v>
      </c>
      <c r="I44" s="13">
        <v>0</v>
      </c>
      <c r="J44" s="13">
        <f t="shared" si="6"/>
        <v>980</v>
      </c>
      <c r="K44" s="13">
        <f>(H44*F44)</f>
        <v>149450</v>
      </c>
      <c r="L44" s="13">
        <f t="shared" si="7"/>
        <v>0</v>
      </c>
      <c r="M44" s="107">
        <f>(J44*F44)</f>
        <v>149450</v>
      </c>
      <c r="N44" s="103">
        <f>M44/G44</f>
        <v>1</v>
      </c>
    </row>
    <row r="45" spans="1:14" ht="30.95" customHeight="1" x14ac:dyDescent="0.2">
      <c r="A45" s="110" t="s">
        <v>834</v>
      </c>
      <c r="B45" s="55" t="s">
        <v>835</v>
      </c>
      <c r="C45" s="56" t="s">
        <v>28</v>
      </c>
      <c r="D45" s="57">
        <v>964</v>
      </c>
      <c r="E45" s="13">
        <f>[1]CPUs!I379</f>
        <v>0</v>
      </c>
      <c r="F45" s="57">
        <v>13.747655999999999</v>
      </c>
      <c r="G45" s="13">
        <f>D45*F45</f>
        <v>13252.740383999999</v>
      </c>
      <c r="H45" s="13">
        <v>964</v>
      </c>
      <c r="I45" s="13">
        <v>0</v>
      </c>
      <c r="J45" s="13">
        <f t="shared" si="6"/>
        <v>964</v>
      </c>
      <c r="K45" s="13">
        <f>(H45*F45)</f>
        <v>13252.740383999999</v>
      </c>
      <c r="L45" s="13">
        <f t="shared" si="7"/>
        <v>0</v>
      </c>
      <c r="M45" s="107">
        <f>(J45*F45)</f>
        <v>13252.740383999999</v>
      </c>
      <c r="N45" s="103">
        <f>M45/G45</f>
        <v>1</v>
      </c>
    </row>
    <row r="46" spans="1:14" ht="43.5" customHeight="1" x14ac:dyDescent="0.2">
      <c r="A46" s="110" t="s">
        <v>836</v>
      </c>
      <c r="B46" s="55" t="s">
        <v>837</v>
      </c>
      <c r="C46" s="56" t="s">
        <v>59</v>
      </c>
      <c r="D46" s="57">
        <v>29.918399999999998</v>
      </c>
      <c r="E46" s="13">
        <f>[1]CPUs!I380</f>
        <v>33.15</v>
      </c>
      <c r="F46" s="57">
        <v>498.87177599999995</v>
      </c>
      <c r="G46" s="13">
        <f>(D46*F46)</f>
        <v>14925.445343078398</v>
      </c>
      <c r="H46" s="13">
        <v>20</v>
      </c>
      <c r="I46" s="13">
        <v>9.9184000000000001</v>
      </c>
      <c r="J46" s="13">
        <f t="shared" si="6"/>
        <v>29.918399999999998</v>
      </c>
      <c r="K46" s="13">
        <f>(H46*F46)</f>
        <v>9977.4355199999991</v>
      </c>
      <c r="L46" s="13">
        <f t="shared" si="7"/>
        <v>4948.0098230783997</v>
      </c>
      <c r="M46" s="107">
        <f>(J46*F46)</f>
        <v>14925.445343078398</v>
      </c>
      <c r="N46" s="103">
        <f>M46/G46</f>
        <v>1</v>
      </c>
    </row>
    <row r="47" spans="1:14" ht="24" customHeight="1" x14ac:dyDescent="0.2">
      <c r="A47" s="108" t="s">
        <v>90</v>
      </c>
      <c r="B47" s="16" t="s">
        <v>91</v>
      </c>
      <c r="C47" s="16"/>
      <c r="D47" s="20"/>
      <c r="E47" s="19"/>
      <c r="F47" s="19"/>
      <c r="G47" s="20">
        <f>SUM(G48:G63)</f>
        <v>542887.01593809994</v>
      </c>
      <c r="H47" s="20"/>
      <c r="I47" s="19"/>
      <c r="J47" s="20"/>
      <c r="K47" s="20">
        <f>SUM(K48:K63)</f>
        <v>529128.58746810001</v>
      </c>
      <c r="L47" s="20">
        <f>SUM(L48:L63)</f>
        <v>13758.424645000001</v>
      </c>
      <c r="M47" s="109">
        <f>SUM(M48:M63)+0.01</f>
        <v>542887.02211309993</v>
      </c>
      <c r="N47" s="102">
        <f t="shared" si="5"/>
        <v>1.0000000113743741</v>
      </c>
    </row>
    <row r="48" spans="1:14" ht="39" customHeight="1" x14ac:dyDescent="0.2">
      <c r="A48" s="106" t="s">
        <v>92</v>
      </c>
      <c r="B48" s="11" t="s">
        <v>93</v>
      </c>
      <c r="C48" s="12" t="s">
        <v>59</v>
      </c>
      <c r="D48" s="13">
        <v>28</v>
      </c>
      <c r="E48" s="13">
        <f>[1]CPUs!I390</f>
        <v>618.26</v>
      </c>
      <c r="F48" s="13">
        <v>764.35</v>
      </c>
      <c r="G48" s="13">
        <f>(D48*F48)</f>
        <v>21401.8</v>
      </c>
      <c r="H48" s="13">
        <v>28</v>
      </c>
      <c r="I48" s="13">
        <v>0</v>
      </c>
      <c r="J48" s="13">
        <f t="shared" ref="J48:J63" si="8">H48+I48</f>
        <v>28</v>
      </c>
      <c r="K48" s="13">
        <f t="shared" ref="K48:K63" si="9">H48*F48</f>
        <v>21401.8</v>
      </c>
      <c r="L48" s="13">
        <f t="shared" ref="L48:L63" si="10">I48*F48</f>
        <v>0</v>
      </c>
      <c r="M48" s="107">
        <f t="shared" ref="M48:M63" si="11">J48*F48</f>
        <v>21401.8</v>
      </c>
      <c r="N48" s="103">
        <f t="shared" si="5"/>
        <v>1</v>
      </c>
    </row>
    <row r="49" spans="1:14" ht="39" customHeight="1" x14ac:dyDescent="0.2">
      <c r="A49" s="106" t="s">
        <v>94</v>
      </c>
      <c r="B49" s="11" t="s">
        <v>95</v>
      </c>
      <c r="C49" s="12" t="s">
        <v>59</v>
      </c>
      <c r="D49" s="13">
        <v>162.87799999999999</v>
      </c>
      <c r="E49" s="13">
        <f>[1]CPUs!I400</f>
        <v>78.849999999999994</v>
      </c>
      <c r="F49" s="13">
        <v>97.48</v>
      </c>
      <c r="G49" s="13">
        <f>(D49*F49)</f>
        <v>15877.34744</v>
      </c>
      <c r="H49" s="13">
        <v>155.2045</v>
      </c>
      <c r="I49" s="13">
        <v>7.6734999999999998</v>
      </c>
      <c r="J49" s="13">
        <f t="shared" si="8"/>
        <v>162.87799999999999</v>
      </c>
      <c r="K49" s="13">
        <f t="shared" si="9"/>
        <v>15129.33466</v>
      </c>
      <c r="L49" s="13">
        <f t="shared" si="10"/>
        <v>748.01278000000002</v>
      </c>
      <c r="M49" s="107">
        <f t="shared" si="11"/>
        <v>15877.34744</v>
      </c>
      <c r="N49" s="103">
        <f t="shared" si="5"/>
        <v>1</v>
      </c>
    </row>
    <row r="50" spans="1:14" ht="39" customHeight="1" x14ac:dyDescent="0.2">
      <c r="A50" s="106" t="s">
        <v>96</v>
      </c>
      <c r="B50" s="11" t="s">
        <v>97</v>
      </c>
      <c r="C50" s="12" t="s">
        <v>31</v>
      </c>
      <c r="D50" s="13">
        <v>1000.46</v>
      </c>
      <c r="E50" s="13">
        <f>[1]CPUs!I407</f>
        <v>119.28</v>
      </c>
      <c r="F50" s="13">
        <v>147.46</v>
      </c>
      <c r="G50" s="13">
        <f t="shared" ref="G50:G61" si="12">D50*F50</f>
        <v>147527.8316</v>
      </c>
      <c r="H50" s="13">
        <v>982.94</v>
      </c>
      <c r="I50" s="13">
        <v>17.52</v>
      </c>
      <c r="J50" s="13">
        <f t="shared" si="8"/>
        <v>1000.46</v>
      </c>
      <c r="K50" s="13">
        <f t="shared" si="9"/>
        <v>144944.33240000001</v>
      </c>
      <c r="L50" s="13">
        <f t="shared" si="10"/>
        <v>2583.4992000000002</v>
      </c>
      <c r="M50" s="107">
        <f t="shared" si="11"/>
        <v>147527.8316</v>
      </c>
      <c r="N50" s="103">
        <f t="shared" si="5"/>
        <v>1</v>
      </c>
    </row>
    <row r="51" spans="1:14" ht="26.25" customHeight="1" x14ac:dyDescent="0.2">
      <c r="A51" s="106" t="s">
        <v>98</v>
      </c>
      <c r="B51" s="11" t="s">
        <v>99</v>
      </c>
      <c r="C51" s="12" t="s">
        <v>59</v>
      </c>
      <c r="D51" s="13">
        <v>281.71325000000002</v>
      </c>
      <c r="E51" s="13">
        <f>[1]CPUs!I424</f>
        <v>68.319999999999993</v>
      </c>
      <c r="F51" s="13">
        <v>84.46</v>
      </c>
      <c r="G51" s="13">
        <f>(D51*F51)</f>
        <v>23793.501095</v>
      </c>
      <c r="H51" s="13">
        <v>222.62825000000001</v>
      </c>
      <c r="I51" s="13">
        <v>59.085000000000001</v>
      </c>
      <c r="J51" s="13">
        <f t="shared" si="8"/>
        <v>281.71325000000002</v>
      </c>
      <c r="K51" s="13">
        <f t="shared" si="9"/>
        <v>18803.181994999999</v>
      </c>
      <c r="L51" s="13">
        <f t="shared" si="10"/>
        <v>4990.3190999999997</v>
      </c>
      <c r="M51" s="107">
        <f t="shared" si="11"/>
        <v>23793.501095</v>
      </c>
      <c r="N51" s="103">
        <f t="shared" si="5"/>
        <v>1</v>
      </c>
    </row>
    <row r="52" spans="1:14" ht="39" customHeight="1" x14ac:dyDescent="0.2">
      <c r="A52" s="106" t="s">
        <v>100</v>
      </c>
      <c r="B52" s="11" t="s">
        <v>101</v>
      </c>
      <c r="C52" s="12" t="s">
        <v>31</v>
      </c>
      <c r="D52" s="13">
        <v>965.06999999999994</v>
      </c>
      <c r="E52" s="13">
        <f>[1]CPUs!I430</f>
        <v>2.73</v>
      </c>
      <c r="F52" s="13">
        <v>3.37</v>
      </c>
      <c r="G52" s="13">
        <f>(D52*F52)</f>
        <v>3252.2858999999999</v>
      </c>
      <c r="H52" s="13">
        <v>0</v>
      </c>
      <c r="I52" s="13">
        <v>965.07</v>
      </c>
      <c r="J52" s="13">
        <f t="shared" si="8"/>
        <v>965.07</v>
      </c>
      <c r="K52" s="13">
        <f t="shared" si="9"/>
        <v>0</v>
      </c>
      <c r="L52" s="13">
        <f t="shared" si="10"/>
        <v>3252.2859000000003</v>
      </c>
      <c r="M52" s="107">
        <f t="shared" si="11"/>
        <v>3252.2859000000003</v>
      </c>
      <c r="N52" s="103">
        <f t="shared" si="5"/>
        <v>1.0000000000000002</v>
      </c>
    </row>
    <row r="53" spans="1:14" ht="39" customHeight="1" x14ac:dyDescent="0.2">
      <c r="A53" s="106" t="s">
        <v>102</v>
      </c>
      <c r="B53" s="11" t="s">
        <v>103</v>
      </c>
      <c r="C53" s="12" t="s">
        <v>79</v>
      </c>
      <c r="D53" s="13">
        <v>1204.6600000000001</v>
      </c>
      <c r="E53" s="13">
        <f>[1]CPUs!I438</f>
        <v>11.82</v>
      </c>
      <c r="F53" s="13">
        <v>14.61</v>
      </c>
      <c r="G53" s="13">
        <f t="shared" si="12"/>
        <v>17600.082600000002</v>
      </c>
      <c r="H53" s="13">
        <v>1204.6600000000001</v>
      </c>
      <c r="I53" s="13">
        <v>0</v>
      </c>
      <c r="J53" s="13">
        <f t="shared" si="8"/>
        <v>1204.6600000000001</v>
      </c>
      <c r="K53" s="13">
        <f>(H53*F53)</f>
        <v>17600.082600000002</v>
      </c>
      <c r="L53" s="13">
        <f t="shared" si="10"/>
        <v>0</v>
      </c>
      <c r="M53" s="107">
        <f>(J53*F53)</f>
        <v>17600.082600000002</v>
      </c>
      <c r="N53" s="103">
        <f t="shared" si="5"/>
        <v>1</v>
      </c>
    </row>
    <row r="54" spans="1:14" ht="30" customHeight="1" x14ac:dyDescent="0.2">
      <c r="A54" s="106" t="s">
        <v>104</v>
      </c>
      <c r="B54" s="11" t="s">
        <v>105</v>
      </c>
      <c r="C54" s="12" t="s">
        <v>79</v>
      </c>
      <c r="D54" s="13">
        <v>2329.8000000000002</v>
      </c>
      <c r="E54" s="13">
        <f>[1]CPUs!I448</f>
        <v>11.26</v>
      </c>
      <c r="F54" s="13">
        <v>13.92</v>
      </c>
      <c r="G54" s="13">
        <f>(D54*F54)</f>
        <v>32430.816000000003</v>
      </c>
      <c r="H54" s="13">
        <v>2329.8000000000002</v>
      </c>
      <c r="I54" s="13">
        <v>0</v>
      </c>
      <c r="J54" s="13">
        <f t="shared" si="8"/>
        <v>2329.8000000000002</v>
      </c>
      <c r="K54" s="13">
        <f t="shared" si="9"/>
        <v>32430.816000000003</v>
      </c>
      <c r="L54" s="13">
        <f t="shared" si="10"/>
        <v>0</v>
      </c>
      <c r="M54" s="107">
        <f t="shared" si="11"/>
        <v>32430.816000000003</v>
      </c>
      <c r="N54" s="103">
        <f t="shared" si="5"/>
        <v>1</v>
      </c>
    </row>
    <row r="55" spans="1:14" ht="30" customHeight="1" x14ac:dyDescent="0.2">
      <c r="A55" s="106" t="s">
        <v>106</v>
      </c>
      <c r="B55" s="11" t="s">
        <v>107</v>
      </c>
      <c r="C55" s="12" t="s">
        <v>79</v>
      </c>
      <c r="D55" s="13">
        <v>1426.6999999999998</v>
      </c>
      <c r="E55" s="13">
        <f>[1]CPUs!I458</f>
        <v>10.66</v>
      </c>
      <c r="F55" s="13">
        <v>13.17</v>
      </c>
      <c r="G55" s="13">
        <f>(D55*F55)</f>
        <v>18789.638999999999</v>
      </c>
      <c r="H55" s="13">
        <v>1426.7</v>
      </c>
      <c r="I55" s="13">
        <v>0</v>
      </c>
      <c r="J55" s="13">
        <f t="shared" si="8"/>
        <v>1426.7</v>
      </c>
      <c r="K55" s="13">
        <f t="shared" si="9"/>
        <v>18789.638999999999</v>
      </c>
      <c r="L55" s="13">
        <f t="shared" si="10"/>
        <v>0</v>
      </c>
      <c r="M55" s="107">
        <f t="shared" si="11"/>
        <v>18789.638999999999</v>
      </c>
      <c r="N55" s="103">
        <f t="shared" si="5"/>
        <v>1</v>
      </c>
    </row>
    <row r="56" spans="1:14" ht="30" customHeight="1" x14ac:dyDescent="0.2">
      <c r="A56" s="106" t="s">
        <v>108</v>
      </c>
      <c r="B56" s="11" t="s">
        <v>109</v>
      </c>
      <c r="C56" s="12" t="s">
        <v>79</v>
      </c>
      <c r="D56" s="13">
        <v>1712.4</v>
      </c>
      <c r="E56" s="13">
        <f>[1]CPUs!I468</f>
        <v>15.85</v>
      </c>
      <c r="F56" s="13">
        <v>19.59</v>
      </c>
      <c r="G56" s="13">
        <f t="shared" si="12"/>
        <v>33545.916000000005</v>
      </c>
      <c r="H56" s="13">
        <v>1712.4</v>
      </c>
      <c r="I56" s="13">
        <v>0</v>
      </c>
      <c r="J56" s="13">
        <f t="shared" si="8"/>
        <v>1712.4</v>
      </c>
      <c r="K56" s="13">
        <f t="shared" si="9"/>
        <v>33545.916000000005</v>
      </c>
      <c r="L56" s="13">
        <f t="shared" si="10"/>
        <v>0</v>
      </c>
      <c r="M56" s="107">
        <f t="shared" si="11"/>
        <v>33545.916000000005</v>
      </c>
      <c r="N56" s="103">
        <f t="shared" si="5"/>
        <v>1</v>
      </c>
    </row>
    <row r="57" spans="1:14" ht="39" customHeight="1" x14ac:dyDescent="0.2">
      <c r="A57" s="106" t="s">
        <v>110</v>
      </c>
      <c r="B57" s="11" t="s">
        <v>111</v>
      </c>
      <c r="C57" s="12" t="s">
        <v>59</v>
      </c>
      <c r="D57" s="13">
        <v>23.928549999999998</v>
      </c>
      <c r="E57" s="13">
        <f>[1]CPUs!I478</f>
        <v>426.8</v>
      </c>
      <c r="F57" s="13">
        <v>527.65</v>
      </c>
      <c r="G57" s="13">
        <f>(D57*F57)</f>
        <v>12625.899407499999</v>
      </c>
      <c r="H57" s="13">
        <v>23.324549999999999</v>
      </c>
      <c r="I57" s="13">
        <v>0.60350000000000004</v>
      </c>
      <c r="J57" s="13">
        <f t="shared" si="8"/>
        <v>23.928049999999999</v>
      </c>
      <c r="K57" s="13">
        <f>(H57*F57)+0.26</f>
        <v>12307.458807499999</v>
      </c>
      <c r="L57" s="13">
        <f t="shared" si="10"/>
        <v>318.43677500000001</v>
      </c>
      <c r="M57" s="107">
        <f>(J57*F57)+0.26</f>
        <v>12625.895582499999</v>
      </c>
      <c r="N57" s="103">
        <f t="shared" si="5"/>
        <v>0.99999969705128511</v>
      </c>
    </row>
    <row r="58" spans="1:14" ht="30" customHeight="1" x14ac:dyDescent="0.2">
      <c r="A58" s="106" t="s">
        <v>112</v>
      </c>
      <c r="B58" s="11" t="s">
        <v>113</v>
      </c>
      <c r="C58" s="12" t="s">
        <v>79</v>
      </c>
      <c r="D58" s="13">
        <v>1919.4999999999998</v>
      </c>
      <c r="E58" s="13">
        <f>[1]CPUs!I487</f>
        <v>11.82</v>
      </c>
      <c r="F58" s="13">
        <v>14.61</v>
      </c>
      <c r="G58" s="13">
        <f t="shared" si="12"/>
        <v>28043.894999999997</v>
      </c>
      <c r="H58" s="13">
        <v>1919.4999999999998</v>
      </c>
      <c r="I58" s="13">
        <v>0</v>
      </c>
      <c r="J58" s="13">
        <f t="shared" si="8"/>
        <v>1919.4999999999998</v>
      </c>
      <c r="K58" s="13">
        <f t="shared" si="9"/>
        <v>28043.894999999997</v>
      </c>
      <c r="L58" s="13">
        <f t="shared" si="10"/>
        <v>0</v>
      </c>
      <c r="M58" s="107">
        <f>(J58*F58)</f>
        <v>28043.894999999997</v>
      </c>
      <c r="N58" s="103">
        <f t="shared" si="5"/>
        <v>1</v>
      </c>
    </row>
    <row r="59" spans="1:14" ht="30" customHeight="1" x14ac:dyDescent="0.2">
      <c r="A59" s="106" t="s">
        <v>114</v>
      </c>
      <c r="B59" s="11" t="s">
        <v>115</v>
      </c>
      <c r="C59" s="12" t="s">
        <v>79</v>
      </c>
      <c r="D59" s="13">
        <v>260.7</v>
      </c>
      <c r="E59" s="13">
        <f>[1]CPUs!I497</f>
        <v>11.53</v>
      </c>
      <c r="F59" s="13">
        <v>14.25</v>
      </c>
      <c r="G59" s="13">
        <f t="shared" si="12"/>
        <v>3714.9749999999999</v>
      </c>
      <c r="H59" s="13">
        <v>260.7</v>
      </c>
      <c r="I59" s="13">
        <v>0</v>
      </c>
      <c r="J59" s="13">
        <f t="shared" si="8"/>
        <v>260.7</v>
      </c>
      <c r="K59" s="13">
        <f t="shared" si="9"/>
        <v>3714.9749999999999</v>
      </c>
      <c r="L59" s="13">
        <f t="shared" si="10"/>
        <v>0</v>
      </c>
      <c r="M59" s="107">
        <f t="shared" si="11"/>
        <v>3714.9749999999999</v>
      </c>
      <c r="N59" s="103">
        <f t="shared" si="5"/>
        <v>1</v>
      </c>
    </row>
    <row r="60" spans="1:14" ht="30" customHeight="1" x14ac:dyDescent="0.2">
      <c r="A60" s="106" t="s">
        <v>116</v>
      </c>
      <c r="B60" s="11" t="s">
        <v>117</v>
      </c>
      <c r="C60" s="12" t="s">
        <v>79</v>
      </c>
      <c r="D60" s="13">
        <v>1693</v>
      </c>
      <c r="E60" s="13">
        <f>[1]CPUs!I507</f>
        <v>14.84</v>
      </c>
      <c r="F60" s="13">
        <v>18.34</v>
      </c>
      <c r="G60" s="13">
        <f>(D60*F60)</f>
        <v>31049.62</v>
      </c>
      <c r="H60" s="13">
        <v>1693</v>
      </c>
      <c r="I60" s="13">
        <v>0</v>
      </c>
      <c r="J60" s="13">
        <f t="shared" si="8"/>
        <v>1693</v>
      </c>
      <c r="K60" s="13">
        <f t="shared" si="9"/>
        <v>31049.62</v>
      </c>
      <c r="L60" s="13">
        <f t="shared" si="10"/>
        <v>0</v>
      </c>
      <c r="M60" s="107">
        <f t="shared" si="11"/>
        <v>31049.62</v>
      </c>
      <c r="N60" s="103">
        <f t="shared" si="5"/>
        <v>1</v>
      </c>
    </row>
    <row r="61" spans="1:14" ht="30" customHeight="1" x14ac:dyDescent="0.2">
      <c r="A61" s="106" t="s">
        <v>118</v>
      </c>
      <c r="B61" s="11" t="s">
        <v>119</v>
      </c>
      <c r="C61" s="12" t="s">
        <v>79</v>
      </c>
      <c r="D61" s="13">
        <v>379.74</v>
      </c>
      <c r="E61" s="13">
        <f>[1]CPUs!I517</f>
        <v>16.86</v>
      </c>
      <c r="F61" s="13">
        <v>20.84</v>
      </c>
      <c r="G61" s="13">
        <f t="shared" si="12"/>
        <v>7913.7816000000003</v>
      </c>
      <c r="H61" s="13">
        <v>379.74</v>
      </c>
      <c r="I61" s="13">
        <v>0</v>
      </c>
      <c r="J61" s="13">
        <f t="shared" si="8"/>
        <v>379.74</v>
      </c>
      <c r="K61" s="13">
        <f t="shared" si="9"/>
        <v>7913.7816000000003</v>
      </c>
      <c r="L61" s="13">
        <f t="shared" si="10"/>
        <v>0</v>
      </c>
      <c r="M61" s="107">
        <f t="shared" si="11"/>
        <v>7913.7816000000003</v>
      </c>
      <c r="N61" s="103">
        <f t="shared" si="5"/>
        <v>1</v>
      </c>
    </row>
    <row r="62" spans="1:14" ht="45.75" customHeight="1" x14ac:dyDescent="0.2">
      <c r="A62" s="106" t="s">
        <v>838</v>
      </c>
      <c r="B62" s="55" t="s">
        <v>840</v>
      </c>
      <c r="C62" s="12" t="s">
        <v>59</v>
      </c>
      <c r="D62" s="57">
        <v>162.91299999999998</v>
      </c>
      <c r="E62" s="13"/>
      <c r="F62" s="13">
        <v>680.23</v>
      </c>
      <c r="G62" s="13">
        <f>(D62*F62)</f>
        <v>110818.30998999999</v>
      </c>
      <c r="H62" s="13">
        <v>160.16999999999999</v>
      </c>
      <c r="I62" s="13">
        <v>2.7429999999999999</v>
      </c>
      <c r="J62" s="13">
        <f t="shared" si="8"/>
        <v>162.91299999999998</v>
      </c>
      <c r="K62" s="13">
        <f t="shared" si="9"/>
        <v>108952.43909999999</v>
      </c>
      <c r="L62" s="13">
        <f t="shared" si="10"/>
        <v>1865.8708899999999</v>
      </c>
      <c r="M62" s="107">
        <f t="shared" si="11"/>
        <v>110818.30998999999</v>
      </c>
      <c r="N62" s="103">
        <f t="shared" si="5"/>
        <v>1</v>
      </c>
    </row>
    <row r="63" spans="1:14" ht="30" customHeight="1" x14ac:dyDescent="0.2">
      <c r="A63" s="106" t="s">
        <v>839</v>
      </c>
      <c r="B63" s="55" t="s">
        <v>841</v>
      </c>
      <c r="C63" s="12" t="s">
        <v>79</v>
      </c>
      <c r="D63" s="57">
        <v>2428.7999999999997</v>
      </c>
      <c r="E63" s="13"/>
      <c r="F63" s="13">
        <v>14.205087000000001</v>
      </c>
      <c r="G63" s="13">
        <f>(D63*F63)</f>
        <v>34501.315305600001</v>
      </c>
      <c r="H63" s="13">
        <v>2428.7999999999997</v>
      </c>
      <c r="I63" s="13">
        <v>0</v>
      </c>
      <c r="J63" s="13">
        <f t="shared" si="8"/>
        <v>2428.7999999999997</v>
      </c>
      <c r="K63" s="13">
        <f t="shared" si="9"/>
        <v>34501.315305600001</v>
      </c>
      <c r="L63" s="13">
        <f t="shared" si="10"/>
        <v>0</v>
      </c>
      <c r="M63" s="107">
        <f t="shared" si="11"/>
        <v>34501.315305600001</v>
      </c>
      <c r="N63" s="103">
        <f t="shared" si="5"/>
        <v>1</v>
      </c>
    </row>
    <row r="64" spans="1:14" ht="24" customHeight="1" x14ac:dyDescent="0.2">
      <c r="A64" s="108" t="s">
        <v>120</v>
      </c>
      <c r="B64" s="16" t="s">
        <v>121</v>
      </c>
      <c r="C64" s="16"/>
      <c r="D64" s="20"/>
      <c r="E64" s="19"/>
      <c r="F64" s="19"/>
      <c r="G64" s="20">
        <f>SUM(G65:G81)</f>
        <v>9276329.8867979459</v>
      </c>
      <c r="H64" s="20"/>
      <c r="I64" s="19"/>
      <c r="J64" s="20"/>
      <c r="K64" s="20">
        <f>SUM(K65:K81)</f>
        <v>9263738.2742979452</v>
      </c>
      <c r="L64" s="20">
        <f>SUM(L65:L81)</f>
        <v>0</v>
      </c>
      <c r="M64" s="109">
        <f>SUM(M65:M81)</f>
        <v>9263738.2742979452</v>
      </c>
      <c r="N64" s="102">
        <f t="shared" si="5"/>
        <v>0.99864260837490038</v>
      </c>
    </row>
    <row r="65" spans="1:14" ht="32.25" hidden="1" customHeight="1" x14ac:dyDescent="0.2">
      <c r="A65" s="106" t="s">
        <v>122</v>
      </c>
      <c r="B65" s="11" t="s">
        <v>123</v>
      </c>
      <c r="C65" s="12" t="s">
        <v>79</v>
      </c>
      <c r="D65" s="13">
        <v>637.54999999999995</v>
      </c>
      <c r="E65" s="13">
        <f>[1]CPUs!I527</f>
        <v>15.98</v>
      </c>
      <c r="F65" s="13">
        <v>19.75</v>
      </c>
      <c r="G65" s="13">
        <f>D65*F65</f>
        <v>12591.612499999999</v>
      </c>
      <c r="H65" s="13">
        <v>0</v>
      </c>
      <c r="I65" s="13">
        <v>0</v>
      </c>
      <c r="J65" s="13">
        <f>H65+I65</f>
        <v>0</v>
      </c>
      <c r="K65" s="13">
        <f>H65*F65</f>
        <v>0</v>
      </c>
      <c r="L65" s="13">
        <f>I65*F65</f>
        <v>0</v>
      </c>
      <c r="M65" s="107">
        <f>J65*F65</f>
        <v>0</v>
      </c>
      <c r="N65" s="103">
        <f t="shared" si="5"/>
        <v>0</v>
      </c>
    </row>
    <row r="66" spans="1:14" ht="48" customHeight="1" x14ac:dyDescent="0.2">
      <c r="A66" s="106" t="s">
        <v>124</v>
      </c>
      <c r="B66" s="11" t="s">
        <v>125</v>
      </c>
      <c r="C66" s="12" t="s">
        <v>79</v>
      </c>
      <c r="D66" s="14">
        <v>244040</v>
      </c>
      <c r="E66" s="13">
        <f>[1]CPUs!I537</f>
        <v>28.331400477099997</v>
      </c>
      <c r="F66" s="13">
        <v>35.026110409838729</v>
      </c>
      <c r="G66" s="13">
        <f>(D66*F66)</f>
        <v>8547771.9844170436</v>
      </c>
      <c r="H66" s="13">
        <v>244040</v>
      </c>
      <c r="I66" s="13">
        <f>'RESUMO MEM.'!E81</f>
        <v>0</v>
      </c>
      <c r="J66" s="13">
        <f>H66+I66</f>
        <v>244040</v>
      </c>
      <c r="K66" s="13">
        <f>H66*F66</f>
        <v>8547771.9844170436</v>
      </c>
      <c r="L66" s="13">
        <f>I66*F66</f>
        <v>0</v>
      </c>
      <c r="M66" s="107">
        <f>J66*F66</f>
        <v>8547771.9844170436</v>
      </c>
      <c r="N66" s="103">
        <f t="shared" si="5"/>
        <v>1</v>
      </c>
    </row>
    <row r="67" spans="1:14" ht="32.25" hidden="1" customHeight="1" x14ac:dyDescent="0.2">
      <c r="A67" s="106" t="s">
        <v>126</v>
      </c>
      <c r="B67" s="11" t="s">
        <v>127</v>
      </c>
      <c r="C67" s="12" t="s">
        <v>31</v>
      </c>
      <c r="D67" s="13">
        <v>0</v>
      </c>
      <c r="E67" s="13">
        <f>[1]CPUs!I547</f>
        <v>200.14249999999998</v>
      </c>
      <c r="F67" s="13">
        <f>[1]CPUs!J551</f>
        <v>247.43617274999997</v>
      </c>
      <c r="G67" s="13">
        <f t="shared" ref="G67:G80" si="13">D67*F67</f>
        <v>0</v>
      </c>
      <c r="H67" s="13">
        <v>0</v>
      </c>
      <c r="I67" s="13">
        <v>0</v>
      </c>
      <c r="J67" s="13">
        <f>H67+I67</f>
        <v>0</v>
      </c>
      <c r="K67" s="13">
        <f>H67*F67</f>
        <v>0</v>
      </c>
      <c r="L67" s="13">
        <f>I67*F67</f>
        <v>0</v>
      </c>
      <c r="M67" s="107">
        <f>J67*F67</f>
        <v>0</v>
      </c>
      <c r="N67" s="103"/>
    </row>
    <row r="68" spans="1:14" ht="32.25" hidden="1" customHeight="1" x14ac:dyDescent="0.2">
      <c r="A68" s="106" t="s">
        <v>128</v>
      </c>
      <c r="B68" s="11" t="s">
        <v>129</v>
      </c>
      <c r="C68" s="12" t="s">
        <v>31</v>
      </c>
      <c r="D68" s="13">
        <v>0</v>
      </c>
      <c r="E68" s="13">
        <f>[1]CPUs!I554</f>
        <v>89.81</v>
      </c>
      <c r="F68" s="13">
        <f>[1]CPUs!J559</f>
        <v>111.03</v>
      </c>
      <c r="G68" s="13">
        <f>(D68*F68)</f>
        <v>0</v>
      </c>
      <c r="H68" s="13">
        <v>0</v>
      </c>
      <c r="I68" s="13">
        <v>0</v>
      </c>
      <c r="J68" s="13">
        <f>H68+I68</f>
        <v>0</v>
      </c>
      <c r="K68" s="13">
        <f>H68*F68</f>
        <v>0</v>
      </c>
      <c r="L68" s="13">
        <f>I68*F68</f>
        <v>0</v>
      </c>
      <c r="M68" s="107">
        <f>J68*F68</f>
        <v>0</v>
      </c>
      <c r="N68" s="103"/>
    </row>
    <row r="69" spans="1:14" ht="40.5" hidden="1" customHeight="1" x14ac:dyDescent="0.2">
      <c r="A69" s="106" t="s">
        <v>130</v>
      </c>
      <c r="B69" s="11" t="s">
        <v>131</v>
      </c>
      <c r="C69" s="12" t="s">
        <v>59</v>
      </c>
      <c r="D69" s="13">
        <v>0</v>
      </c>
      <c r="E69" s="13">
        <f>[1]CPUs!I562</f>
        <v>639.05999999999995</v>
      </c>
      <c r="F69" s="13">
        <f>[1]CPUs!J570</f>
        <v>790.06</v>
      </c>
      <c r="G69" s="13">
        <f t="shared" si="13"/>
        <v>0</v>
      </c>
      <c r="H69" s="13">
        <v>0</v>
      </c>
      <c r="I69" s="13">
        <v>0</v>
      </c>
      <c r="J69" s="13">
        <f>H69+I69</f>
        <v>0</v>
      </c>
      <c r="K69" s="13">
        <f>H69*F69</f>
        <v>0</v>
      </c>
      <c r="L69" s="13">
        <f>I69*F69</f>
        <v>0</v>
      </c>
      <c r="M69" s="107">
        <f>J69*F69</f>
        <v>0</v>
      </c>
      <c r="N69" s="103"/>
    </row>
    <row r="70" spans="1:14" ht="48" customHeight="1" x14ac:dyDescent="0.2">
      <c r="A70" s="110" t="s">
        <v>842</v>
      </c>
      <c r="B70" s="55" t="s">
        <v>843</v>
      </c>
      <c r="C70" s="56" t="s">
        <v>79</v>
      </c>
      <c r="D70" s="57">
        <v>1025.6799999999998</v>
      </c>
      <c r="E70" s="13"/>
      <c r="F70" s="13">
        <v>20.84</v>
      </c>
      <c r="G70" s="13">
        <f t="shared" si="13"/>
        <v>21375.171199999997</v>
      </c>
      <c r="H70" s="13">
        <v>1025.68</v>
      </c>
      <c r="I70" s="13">
        <v>0</v>
      </c>
      <c r="J70" s="13">
        <f t="shared" ref="J70:J81" si="14">H70+I70</f>
        <v>1025.68</v>
      </c>
      <c r="K70" s="13">
        <f t="shared" ref="K70:K81" si="15">H70*F70</f>
        <v>21375.171200000001</v>
      </c>
      <c r="L70" s="13">
        <f t="shared" ref="L70:L81" si="16">I70*F70</f>
        <v>0</v>
      </c>
      <c r="M70" s="107">
        <f t="shared" ref="M70:M81" si="17">J70*F70</f>
        <v>21375.171200000001</v>
      </c>
      <c r="N70" s="103">
        <f t="shared" si="5"/>
        <v>1.0000000000000002</v>
      </c>
    </row>
    <row r="71" spans="1:14" ht="43.5" customHeight="1" x14ac:dyDescent="0.2">
      <c r="A71" s="110" t="s">
        <v>844</v>
      </c>
      <c r="B71" s="55" t="s">
        <v>845</v>
      </c>
      <c r="C71" s="56" t="s">
        <v>79</v>
      </c>
      <c r="D71" s="57">
        <v>314.5</v>
      </c>
      <c r="E71" s="13"/>
      <c r="F71" s="13">
        <v>19.59</v>
      </c>
      <c r="G71" s="13">
        <f t="shared" si="13"/>
        <v>6161.0550000000003</v>
      </c>
      <c r="H71" s="13">
        <v>314.5</v>
      </c>
      <c r="I71" s="13">
        <v>0</v>
      </c>
      <c r="J71" s="13">
        <f t="shared" si="14"/>
        <v>314.5</v>
      </c>
      <c r="K71" s="13">
        <f t="shared" si="15"/>
        <v>6161.0550000000003</v>
      </c>
      <c r="L71" s="13">
        <f t="shared" si="16"/>
        <v>0</v>
      </c>
      <c r="M71" s="107">
        <f t="shared" si="17"/>
        <v>6161.0550000000003</v>
      </c>
      <c r="N71" s="103">
        <f t="shared" si="5"/>
        <v>1</v>
      </c>
    </row>
    <row r="72" spans="1:14" ht="42" customHeight="1" x14ac:dyDescent="0.2">
      <c r="A72" s="110" t="s">
        <v>846</v>
      </c>
      <c r="B72" s="55" t="s">
        <v>847</v>
      </c>
      <c r="C72" s="56" t="s">
        <v>79</v>
      </c>
      <c r="D72" s="57">
        <v>1392.6999999999998</v>
      </c>
      <c r="E72" s="13"/>
      <c r="F72" s="13">
        <v>18.34</v>
      </c>
      <c r="G72" s="13">
        <f t="shared" si="13"/>
        <v>25542.117999999995</v>
      </c>
      <c r="H72" s="13">
        <v>1392.7</v>
      </c>
      <c r="I72" s="13">
        <v>0</v>
      </c>
      <c r="J72" s="13">
        <f t="shared" si="14"/>
        <v>1392.7</v>
      </c>
      <c r="K72" s="13">
        <f t="shared" si="15"/>
        <v>25542.118000000002</v>
      </c>
      <c r="L72" s="13">
        <f t="shared" si="16"/>
        <v>0</v>
      </c>
      <c r="M72" s="107">
        <f t="shared" si="17"/>
        <v>25542.118000000002</v>
      </c>
      <c r="N72" s="103">
        <f t="shared" si="5"/>
        <v>1.0000000000000002</v>
      </c>
    </row>
    <row r="73" spans="1:14" ht="48" customHeight="1" x14ac:dyDescent="0.2">
      <c r="A73" s="110" t="s">
        <v>848</v>
      </c>
      <c r="B73" s="55" t="s">
        <v>103</v>
      </c>
      <c r="C73" s="56" t="s">
        <v>79</v>
      </c>
      <c r="D73" s="57">
        <v>665.53</v>
      </c>
      <c r="E73" s="13"/>
      <c r="F73" s="13">
        <v>14.61</v>
      </c>
      <c r="G73" s="13">
        <f t="shared" si="13"/>
        <v>9723.3932999999997</v>
      </c>
      <c r="H73" s="13">
        <v>665.53</v>
      </c>
      <c r="I73" s="13">
        <v>0</v>
      </c>
      <c r="J73" s="13">
        <f t="shared" si="14"/>
        <v>665.53</v>
      </c>
      <c r="K73" s="13">
        <f t="shared" si="15"/>
        <v>9723.3932999999997</v>
      </c>
      <c r="L73" s="13">
        <f t="shared" si="16"/>
        <v>0</v>
      </c>
      <c r="M73" s="107">
        <f t="shared" si="17"/>
        <v>9723.3932999999997</v>
      </c>
      <c r="N73" s="103">
        <f t="shared" si="5"/>
        <v>1</v>
      </c>
    </row>
    <row r="74" spans="1:14" ht="33.75" customHeight="1" x14ac:dyDescent="0.2">
      <c r="A74" s="110" t="s">
        <v>849</v>
      </c>
      <c r="B74" s="55" t="s">
        <v>850</v>
      </c>
      <c r="C74" s="56" t="s">
        <v>79</v>
      </c>
      <c r="D74" s="57">
        <v>1022.8</v>
      </c>
      <c r="E74" s="13"/>
      <c r="F74" s="13">
        <v>19.59</v>
      </c>
      <c r="G74" s="13">
        <f t="shared" si="13"/>
        <v>20036.651999999998</v>
      </c>
      <c r="H74" s="13">
        <v>1022.8</v>
      </c>
      <c r="I74" s="13">
        <v>0</v>
      </c>
      <c r="J74" s="13">
        <f t="shared" si="14"/>
        <v>1022.8</v>
      </c>
      <c r="K74" s="13">
        <f t="shared" si="15"/>
        <v>20036.651999999998</v>
      </c>
      <c r="L74" s="13">
        <f t="shared" si="16"/>
        <v>0</v>
      </c>
      <c r="M74" s="107">
        <f t="shared" si="17"/>
        <v>20036.651999999998</v>
      </c>
      <c r="N74" s="103">
        <f t="shared" si="5"/>
        <v>1</v>
      </c>
    </row>
    <row r="75" spans="1:14" ht="36.75" customHeight="1" x14ac:dyDescent="0.2">
      <c r="A75" s="110" t="s">
        <v>851</v>
      </c>
      <c r="B75" s="55" t="s">
        <v>852</v>
      </c>
      <c r="C75" s="56" t="s">
        <v>79</v>
      </c>
      <c r="D75" s="57">
        <v>7725.41</v>
      </c>
      <c r="E75" s="13"/>
      <c r="F75" s="13">
        <v>18.34</v>
      </c>
      <c r="G75" s="13">
        <f t="shared" si="13"/>
        <v>141684.01939999999</v>
      </c>
      <c r="H75" s="13">
        <v>7725.41</v>
      </c>
      <c r="I75" s="13">
        <v>0</v>
      </c>
      <c r="J75" s="13">
        <f t="shared" si="14"/>
        <v>7725.41</v>
      </c>
      <c r="K75" s="13">
        <f t="shared" si="15"/>
        <v>141684.01939999999</v>
      </c>
      <c r="L75" s="13">
        <f t="shared" si="16"/>
        <v>0</v>
      </c>
      <c r="M75" s="107">
        <f t="shared" si="17"/>
        <v>141684.01939999999</v>
      </c>
      <c r="N75" s="103">
        <f t="shared" si="5"/>
        <v>1</v>
      </c>
    </row>
    <row r="76" spans="1:14" ht="35.25" customHeight="1" x14ac:dyDescent="0.2">
      <c r="A76" s="110" t="s">
        <v>853</v>
      </c>
      <c r="B76" s="55" t="s">
        <v>854</v>
      </c>
      <c r="C76" s="56" t="s">
        <v>79</v>
      </c>
      <c r="D76" s="57">
        <v>2501.62</v>
      </c>
      <c r="E76" s="13"/>
      <c r="F76" s="13">
        <v>14.61</v>
      </c>
      <c r="G76" s="13">
        <f t="shared" si="13"/>
        <v>36548.6682</v>
      </c>
      <c r="H76" s="13">
        <v>2501.62</v>
      </c>
      <c r="I76" s="13">
        <v>0</v>
      </c>
      <c r="J76" s="13">
        <f t="shared" si="14"/>
        <v>2501.62</v>
      </c>
      <c r="K76" s="13">
        <f t="shared" si="15"/>
        <v>36548.6682</v>
      </c>
      <c r="L76" s="13">
        <f t="shared" si="16"/>
        <v>0</v>
      </c>
      <c r="M76" s="107">
        <f t="shared" si="17"/>
        <v>36548.6682</v>
      </c>
      <c r="N76" s="103">
        <f t="shared" si="5"/>
        <v>1</v>
      </c>
    </row>
    <row r="77" spans="1:14" ht="34.5" customHeight="1" x14ac:dyDescent="0.2">
      <c r="A77" s="110" t="s">
        <v>855</v>
      </c>
      <c r="B77" s="55" t="s">
        <v>856</v>
      </c>
      <c r="C77" s="56" t="s">
        <v>79</v>
      </c>
      <c r="D77" s="57">
        <v>6.1</v>
      </c>
      <c r="E77" s="13"/>
      <c r="F77" s="13">
        <v>13.92</v>
      </c>
      <c r="G77" s="13">
        <f t="shared" si="13"/>
        <v>84.911999999999992</v>
      </c>
      <c r="H77" s="13">
        <v>6.1</v>
      </c>
      <c r="I77" s="13">
        <v>0</v>
      </c>
      <c r="J77" s="13">
        <f t="shared" si="14"/>
        <v>6.1</v>
      </c>
      <c r="K77" s="13">
        <f t="shared" si="15"/>
        <v>84.911999999999992</v>
      </c>
      <c r="L77" s="13">
        <f t="shared" si="16"/>
        <v>0</v>
      </c>
      <c r="M77" s="107">
        <f t="shared" si="17"/>
        <v>84.911999999999992</v>
      </c>
      <c r="N77" s="103">
        <f t="shared" si="5"/>
        <v>1</v>
      </c>
    </row>
    <row r="78" spans="1:14" ht="38.25" customHeight="1" x14ac:dyDescent="0.2">
      <c r="A78" s="110" t="s">
        <v>857</v>
      </c>
      <c r="B78" s="55" t="s">
        <v>858</v>
      </c>
      <c r="C78" s="56" t="s">
        <v>79</v>
      </c>
      <c r="D78" s="57">
        <v>24.1</v>
      </c>
      <c r="E78" s="13"/>
      <c r="F78" s="13">
        <v>13.17</v>
      </c>
      <c r="G78" s="13">
        <f t="shared" si="13"/>
        <v>317.39699999999999</v>
      </c>
      <c r="H78" s="13">
        <v>24.1</v>
      </c>
      <c r="I78" s="13">
        <v>0</v>
      </c>
      <c r="J78" s="13">
        <f t="shared" si="14"/>
        <v>24.1</v>
      </c>
      <c r="K78" s="13">
        <f t="shared" si="15"/>
        <v>317.39699999999999</v>
      </c>
      <c r="L78" s="13">
        <f t="shared" si="16"/>
        <v>0</v>
      </c>
      <c r="M78" s="107">
        <f t="shared" si="17"/>
        <v>317.39699999999999</v>
      </c>
      <c r="N78" s="103">
        <f t="shared" si="5"/>
        <v>1</v>
      </c>
    </row>
    <row r="79" spans="1:14" ht="24.75" customHeight="1" x14ac:dyDescent="0.2">
      <c r="A79" s="110" t="s">
        <v>859</v>
      </c>
      <c r="B79" s="55" t="s">
        <v>860</v>
      </c>
      <c r="C79" s="56" t="s">
        <v>31</v>
      </c>
      <c r="D79" s="57">
        <v>1444.91185</v>
      </c>
      <c r="E79" s="13"/>
      <c r="F79" s="13">
        <v>159.19</v>
      </c>
      <c r="G79" s="13">
        <f>(D79*F79)</f>
        <v>230015.51740149999</v>
      </c>
      <c r="H79" s="13">
        <v>1444.91185</v>
      </c>
      <c r="I79" s="13">
        <v>0</v>
      </c>
      <c r="J79" s="13">
        <f t="shared" si="14"/>
        <v>1444.91185</v>
      </c>
      <c r="K79" s="13">
        <f t="shared" si="15"/>
        <v>230015.51740149999</v>
      </c>
      <c r="L79" s="13">
        <f t="shared" si="16"/>
        <v>0</v>
      </c>
      <c r="M79" s="107">
        <f t="shared" si="17"/>
        <v>230015.51740149999</v>
      </c>
      <c r="N79" s="103">
        <f t="shared" si="5"/>
        <v>1</v>
      </c>
    </row>
    <row r="80" spans="1:14" ht="42" customHeight="1" x14ac:dyDescent="0.2">
      <c r="A80" s="110" t="s">
        <v>861</v>
      </c>
      <c r="B80" s="55" t="s">
        <v>862</v>
      </c>
      <c r="C80" s="56" t="s">
        <v>59</v>
      </c>
      <c r="D80" s="57">
        <v>186.68463</v>
      </c>
      <c r="E80" s="13"/>
      <c r="F80" s="13">
        <v>641.38</v>
      </c>
      <c r="G80" s="13">
        <f t="shared" si="13"/>
        <v>119735.78798939999</v>
      </c>
      <c r="H80" s="13">
        <v>186.68463</v>
      </c>
      <c r="I80" s="13">
        <v>0</v>
      </c>
      <c r="J80" s="13">
        <f t="shared" si="14"/>
        <v>186.68463</v>
      </c>
      <c r="K80" s="13">
        <f t="shared" si="15"/>
        <v>119735.78798939999</v>
      </c>
      <c r="L80" s="13">
        <f t="shared" si="16"/>
        <v>0</v>
      </c>
      <c r="M80" s="107">
        <f t="shared" si="17"/>
        <v>119735.78798939999</v>
      </c>
      <c r="N80" s="103">
        <f t="shared" si="5"/>
        <v>1</v>
      </c>
    </row>
    <row r="81" spans="1:14" ht="33" customHeight="1" x14ac:dyDescent="0.2">
      <c r="A81" s="110" t="s">
        <v>863</v>
      </c>
      <c r="B81" s="55" t="s">
        <v>864</v>
      </c>
      <c r="C81" s="56" t="s">
        <v>31</v>
      </c>
      <c r="D81" s="57">
        <v>1444.9110000000001</v>
      </c>
      <c r="E81" s="13"/>
      <c r="F81" s="13">
        <v>72.489999999999995</v>
      </c>
      <c r="G81" s="13">
        <f>(D81*F81)</f>
        <v>104741.59839</v>
      </c>
      <c r="H81" s="13">
        <v>1444.9110000000001</v>
      </c>
      <c r="I81" s="13">
        <v>0</v>
      </c>
      <c r="J81" s="13">
        <f t="shared" si="14"/>
        <v>1444.9110000000001</v>
      </c>
      <c r="K81" s="13">
        <f t="shared" si="15"/>
        <v>104741.59839</v>
      </c>
      <c r="L81" s="13">
        <f t="shared" si="16"/>
        <v>0</v>
      </c>
      <c r="M81" s="107">
        <f t="shared" si="17"/>
        <v>104741.59839</v>
      </c>
      <c r="N81" s="103">
        <f t="shared" si="5"/>
        <v>1</v>
      </c>
    </row>
    <row r="82" spans="1:14" ht="24.75" customHeight="1" x14ac:dyDescent="0.2">
      <c r="A82" s="108" t="s">
        <v>132</v>
      </c>
      <c r="B82" s="16" t="s">
        <v>133</v>
      </c>
      <c r="C82" s="16"/>
      <c r="D82" s="20"/>
      <c r="E82" s="19"/>
      <c r="F82" s="19"/>
      <c r="G82" s="20">
        <f>SUM(G83:G87)</f>
        <v>628559.65612191008</v>
      </c>
      <c r="H82" s="20"/>
      <c r="I82" s="19"/>
      <c r="J82" s="20"/>
      <c r="K82" s="20">
        <f>SUM(K83:K87)</f>
        <v>235514.78504000002</v>
      </c>
      <c r="L82" s="20">
        <f>SUM(L83:L87)</f>
        <v>265047.77807343169</v>
      </c>
      <c r="M82" s="109">
        <f>SUM(M83:M87)</f>
        <v>500562.56311343156</v>
      </c>
      <c r="N82" s="102">
        <f t="shared" si="5"/>
        <v>0.79636444725359001</v>
      </c>
    </row>
    <row r="83" spans="1:14" ht="42.75" customHeight="1" x14ac:dyDescent="0.2">
      <c r="A83" s="106" t="s">
        <v>134</v>
      </c>
      <c r="B83" s="11" t="s">
        <v>135</v>
      </c>
      <c r="C83" s="12" t="s">
        <v>31</v>
      </c>
      <c r="D83" s="13">
        <v>3301.92</v>
      </c>
      <c r="E83" s="13">
        <f>[1]CPUs!I573</f>
        <v>48.97</v>
      </c>
      <c r="F83" s="13">
        <v>60.54</v>
      </c>
      <c r="G83" s="13">
        <f>(F83*D83)</f>
        <v>199898.23680000001</v>
      </c>
      <c r="H83" s="13">
        <v>3301.92</v>
      </c>
      <c r="I83" s="13">
        <v>0</v>
      </c>
      <c r="J83" s="13">
        <f>H83+I83</f>
        <v>3301.92</v>
      </c>
      <c r="K83" s="13">
        <f>(H83*F83)</f>
        <v>199898.23680000001</v>
      </c>
      <c r="L83" s="13">
        <f>I83*F83</f>
        <v>0</v>
      </c>
      <c r="M83" s="107">
        <f>(J83*F83)</f>
        <v>199898.23680000001</v>
      </c>
      <c r="N83" s="103">
        <f t="shared" si="5"/>
        <v>1</v>
      </c>
    </row>
    <row r="84" spans="1:14" ht="24.75" customHeight="1" x14ac:dyDescent="0.2">
      <c r="A84" s="106" t="s">
        <v>136</v>
      </c>
      <c r="B84" s="11" t="s">
        <v>137</v>
      </c>
      <c r="C84" s="12" t="s">
        <v>31</v>
      </c>
      <c r="D84" s="13">
        <v>1582.23</v>
      </c>
      <c r="E84" s="13">
        <f>[1]CPUs!I584</f>
        <v>133.0293231</v>
      </c>
      <c r="F84" s="13">
        <v>164.46415214852999</v>
      </c>
      <c r="G84" s="13">
        <f>(F84*D84)</f>
        <v>260220.11545396861</v>
      </c>
      <c r="H84" s="13">
        <v>0</v>
      </c>
      <c r="I84" s="13">
        <v>1265.8599999999999</v>
      </c>
      <c r="J84" s="13">
        <f>H84+I84</f>
        <v>1265.8599999999999</v>
      </c>
      <c r="K84" s="13">
        <f>H84*F84</f>
        <v>0</v>
      </c>
      <c r="L84" s="13">
        <f>I84*F84</f>
        <v>208188.59163873814</v>
      </c>
      <c r="M84" s="107">
        <f>J84*F84</f>
        <v>208188.59163873814</v>
      </c>
      <c r="N84" s="103">
        <f t="shared" si="5"/>
        <v>0.80004803347174547</v>
      </c>
    </row>
    <row r="85" spans="1:14" ht="24.75" customHeight="1" x14ac:dyDescent="0.2">
      <c r="A85" s="106" t="s">
        <v>138</v>
      </c>
      <c r="B85" s="11" t="s">
        <v>139</v>
      </c>
      <c r="C85" s="12" t="s">
        <v>31</v>
      </c>
      <c r="D85" s="13">
        <v>69.7</v>
      </c>
      <c r="E85" s="13">
        <f>[1]CPUs!I601</f>
        <v>454.69917899999996</v>
      </c>
      <c r="F85" s="13">
        <v>562.14459499769998</v>
      </c>
      <c r="G85" s="13">
        <f>(F85*D85)</f>
        <v>39181.478271339693</v>
      </c>
      <c r="H85" s="13">
        <v>0</v>
      </c>
      <c r="I85" s="13">
        <v>30</v>
      </c>
      <c r="J85" s="13">
        <f>H85+I85</f>
        <v>30</v>
      </c>
      <c r="K85" s="13">
        <f>H85*F85</f>
        <v>0</v>
      </c>
      <c r="L85" s="13">
        <f>I85*F85</f>
        <v>16864.337849930998</v>
      </c>
      <c r="M85" s="107">
        <f>J85*F85</f>
        <v>16864.337849930998</v>
      </c>
      <c r="N85" s="103">
        <f t="shared" si="5"/>
        <v>0.43041606886657097</v>
      </c>
    </row>
    <row r="86" spans="1:14" ht="46.5" customHeight="1" x14ac:dyDescent="0.2">
      <c r="A86" s="106" t="s">
        <v>140</v>
      </c>
      <c r="B86" s="11" t="s">
        <v>141</v>
      </c>
      <c r="C86" s="12" t="s">
        <v>31</v>
      </c>
      <c r="D86" s="13">
        <v>254.7</v>
      </c>
      <c r="E86" s="13">
        <f>[1]CPUs!I613</f>
        <v>121.35</v>
      </c>
      <c r="F86" s="13">
        <v>150.02000000000001</v>
      </c>
      <c r="G86" s="13">
        <f>F86*D86</f>
        <v>38210.093999999997</v>
      </c>
      <c r="H86" s="13">
        <v>237.41200000000001</v>
      </c>
      <c r="I86" s="13">
        <v>17.288</v>
      </c>
      <c r="J86" s="13">
        <f>H86+I86</f>
        <v>254.70000000000002</v>
      </c>
      <c r="K86" s="13">
        <f>H86*F86</f>
        <v>35616.548240000004</v>
      </c>
      <c r="L86" s="13">
        <f>I86*F86</f>
        <v>2593.5457600000004</v>
      </c>
      <c r="M86" s="107">
        <f>J86*F86</f>
        <v>38210.094000000005</v>
      </c>
      <c r="N86" s="103">
        <f t="shared" si="5"/>
        <v>1.0000000000000002</v>
      </c>
    </row>
    <row r="87" spans="1:14" ht="24.75" customHeight="1" x14ac:dyDescent="0.2">
      <c r="A87" s="106" t="s">
        <v>142</v>
      </c>
      <c r="B87" s="11" t="s">
        <v>143</v>
      </c>
      <c r="C87" s="12" t="s">
        <v>31</v>
      </c>
      <c r="D87" s="13">
        <v>182.58</v>
      </c>
      <c r="E87" s="13">
        <f>[1]CPUs!I624</f>
        <v>403.36814500000003</v>
      </c>
      <c r="F87" s="13">
        <v>498.68403766350002</v>
      </c>
      <c r="G87" s="13">
        <f>F87*D87</f>
        <v>91049.731596601836</v>
      </c>
      <c r="H87" s="13">
        <v>0</v>
      </c>
      <c r="I87" s="13">
        <v>75</v>
      </c>
      <c r="J87" s="13">
        <f>H87+I87</f>
        <v>75</v>
      </c>
      <c r="K87" s="13">
        <f>H87*F87</f>
        <v>0</v>
      </c>
      <c r="L87" s="13">
        <f>I87*F87</f>
        <v>37401.302824762504</v>
      </c>
      <c r="M87" s="107">
        <f>J87*F87</f>
        <v>37401.302824762504</v>
      </c>
      <c r="N87" s="103">
        <f t="shared" si="5"/>
        <v>0.41077883667433457</v>
      </c>
    </row>
    <row r="88" spans="1:14" ht="24.75" customHeight="1" x14ac:dyDescent="0.2">
      <c r="A88" s="108" t="s">
        <v>144</v>
      </c>
      <c r="B88" s="16" t="s">
        <v>145</v>
      </c>
      <c r="C88" s="16"/>
      <c r="D88" s="20"/>
      <c r="E88" s="19"/>
      <c r="F88" s="19"/>
      <c r="G88" s="20">
        <f>SUM(G89:G91)</f>
        <v>184532.17667886865</v>
      </c>
      <c r="H88" s="20"/>
      <c r="I88" s="19"/>
      <c r="J88" s="20"/>
      <c r="K88" s="20">
        <f>SUM(K89:K91)</f>
        <v>96967.085779362242</v>
      </c>
      <c r="L88" s="20">
        <f>SUM(L89:L91)</f>
        <v>32321.724879855843</v>
      </c>
      <c r="M88" s="109">
        <f>SUM(M89:M91)</f>
        <v>129288.81065921808</v>
      </c>
      <c r="N88" s="102">
        <f t="shared" si="5"/>
        <v>0.7006301718545942</v>
      </c>
    </row>
    <row r="89" spans="1:14" ht="24.75" customHeight="1" x14ac:dyDescent="0.2">
      <c r="A89" s="106" t="s">
        <v>146</v>
      </c>
      <c r="B89" s="11" t="s">
        <v>147</v>
      </c>
      <c r="C89" s="12" t="s">
        <v>46</v>
      </c>
      <c r="D89" s="13">
        <v>942.37</v>
      </c>
      <c r="E89" s="13">
        <f>[1]CPUs!I638</f>
        <v>91.113440000000011</v>
      </c>
      <c r="F89" s="13">
        <v>112.64354587200002</v>
      </c>
      <c r="G89" s="13">
        <f>(F89*D89)</f>
        <v>106151.89832339666</v>
      </c>
      <c r="H89" s="13">
        <v>565.41999999999996</v>
      </c>
      <c r="I89" s="13">
        <v>188.47</v>
      </c>
      <c r="J89" s="13">
        <f>H89+I89</f>
        <v>753.89</v>
      </c>
      <c r="K89" s="13">
        <f>H89*F89</f>
        <v>63690.913706946245</v>
      </c>
      <c r="L89" s="13">
        <f>I89*F89</f>
        <v>21229.929090495843</v>
      </c>
      <c r="M89" s="107">
        <f>J89*F89</f>
        <v>84920.842797442092</v>
      </c>
      <c r="N89" s="103">
        <f t="shared" si="5"/>
        <v>0.79999363307405791</v>
      </c>
    </row>
    <row r="90" spans="1:14" ht="24.75" hidden="1" customHeight="1" x14ac:dyDescent="0.2">
      <c r="A90" s="106" t="s">
        <v>148</v>
      </c>
      <c r="B90" s="11" t="s">
        <v>149</v>
      </c>
      <c r="C90" s="12" t="s">
        <v>46</v>
      </c>
      <c r="D90" s="13">
        <v>844.5</v>
      </c>
      <c r="E90" s="13">
        <f>[1]CPUs!I649</f>
        <v>21.96</v>
      </c>
      <c r="F90" s="13">
        <v>27.14</v>
      </c>
      <c r="G90" s="13">
        <f>D90*F90</f>
        <v>22919.73</v>
      </c>
      <c r="H90" s="13">
        <v>0</v>
      </c>
      <c r="I90" s="13">
        <v>0</v>
      </c>
      <c r="J90" s="13">
        <f>H90+I90</f>
        <v>0</v>
      </c>
      <c r="K90" s="13">
        <f>H90*F90</f>
        <v>0</v>
      </c>
      <c r="L90" s="13">
        <f>I90*F90</f>
        <v>0</v>
      </c>
      <c r="M90" s="107">
        <f>J90*F90</f>
        <v>0</v>
      </c>
      <c r="N90" s="103">
        <f t="shared" si="5"/>
        <v>0</v>
      </c>
    </row>
    <row r="91" spans="1:14" ht="24.75" customHeight="1" x14ac:dyDescent="0.2">
      <c r="A91" s="106" t="s">
        <v>150</v>
      </c>
      <c r="B91" s="11" t="s">
        <v>151</v>
      </c>
      <c r="C91" s="12" t="s">
        <v>31</v>
      </c>
      <c r="D91" s="13">
        <v>706.77</v>
      </c>
      <c r="E91" s="13">
        <f>[1]CPUs!I660</f>
        <v>63.472000000000008</v>
      </c>
      <c r="F91" s="13">
        <v>78.470433600000007</v>
      </c>
      <c r="G91" s="13">
        <f>(F91*D91)</f>
        <v>55460.548355472005</v>
      </c>
      <c r="H91" s="13">
        <v>424.06</v>
      </c>
      <c r="I91" s="13">
        <v>141.35</v>
      </c>
      <c r="J91" s="13">
        <f>H91+I91</f>
        <v>565.41</v>
      </c>
      <c r="K91" s="13">
        <f>H91*F91</f>
        <v>33276.172072416004</v>
      </c>
      <c r="L91" s="13">
        <f>I91*F91</f>
        <v>11091.795789360001</v>
      </c>
      <c r="M91" s="107">
        <f>J91*F91</f>
        <v>44367.967861776</v>
      </c>
      <c r="N91" s="103">
        <f t="shared" si="5"/>
        <v>0.7999915106753257</v>
      </c>
    </row>
    <row r="92" spans="1:14" ht="24.75" customHeight="1" x14ac:dyDescent="0.2">
      <c r="A92" s="108" t="s">
        <v>152</v>
      </c>
      <c r="B92" s="16" t="s">
        <v>153</v>
      </c>
      <c r="C92" s="16"/>
      <c r="D92" s="20"/>
      <c r="E92" s="19"/>
      <c r="F92" s="19"/>
      <c r="G92" s="20">
        <f>G93+G102</f>
        <v>252505.08313039527</v>
      </c>
      <c r="H92" s="20"/>
      <c r="I92" s="19"/>
      <c r="J92" s="20"/>
      <c r="K92" s="20">
        <f>K93+K102</f>
        <v>97610.955630675133</v>
      </c>
      <c r="L92" s="20">
        <f>L93+L102</f>
        <v>46177.135601640832</v>
      </c>
      <c r="M92" s="109">
        <f>M93+M102</f>
        <v>143788.09123231596</v>
      </c>
      <c r="N92" s="102">
        <f t="shared" si="5"/>
        <v>0.56944632341544921</v>
      </c>
    </row>
    <row r="93" spans="1:14" ht="24.75" customHeight="1" x14ac:dyDescent="0.2">
      <c r="A93" s="108" t="s">
        <v>154</v>
      </c>
      <c r="B93" s="16" t="s">
        <v>155</v>
      </c>
      <c r="C93" s="16"/>
      <c r="D93" s="20"/>
      <c r="E93" s="19"/>
      <c r="F93" s="19"/>
      <c r="G93" s="20">
        <f>SUM(G94:G101)</f>
        <v>127508.40830165549</v>
      </c>
      <c r="H93" s="20"/>
      <c r="I93" s="19"/>
      <c r="J93" s="20"/>
      <c r="K93" s="20">
        <f>SUM(K94:K101)</f>
        <v>51032.875918875128</v>
      </c>
      <c r="L93" s="20">
        <f>SUM(L94:L101)</f>
        <v>0</v>
      </c>
      <c r="M93" s="109">
        <f>SUM(M94:M101)</f>
        <v>51032.875918875128</v>
      </c>
      <c r="N93" s="102">
        <f t="shared" si="5"/>
        <v>0.40023145609459032</v>
      </c>
    </row>
    <row r="94" spans="1:14" ht="42.75" customHeight="1" x14ac:dyDescent="0.2">
      <c r="A94" s="106" t="s">
        <v>156</v>
      </c>
      <c r="B94" s="11" t="s">
        <v>157</v>
      </c>
      <c r="C94" s="12" t="s">
        <v>46</v>
      </c>
      <c r="D94" s="13">
        <v>249</v>
      </c>
      <c r="E94" s="13">
        <f>[1]CPUs!I670</f>
        <v>21.754468079999995</v>
      </c>
      <c r="F94" s="13">
        <v>26.895048887303993</v>
      </c>
      <c r="G94" s="13">
        <f>(F94*D94)</f>
        <v>6696.8671729386942</v>
      </c>
      <c r="H94" s="13">
        <v>249</v>
      </c>
      <c r="I94" s="13">
        <v>0</v>
      </c>
      <c r="J94" s="13">
        <f t="shared" ref="J94:J101" si="18">H94+I94</f>
        <v>249</v>
      </c>
      <c r="K94" s="13">
        <f t="shared" ref="K94:K101" si="19">H94*F94</f>
        <v>6696.8671729386942</v>
      </c>
      <c r="L94" s="13">
        <f t="shared" ref="L94:L101" si="20">I94*F94</f>
        <v>0</v>
      </c>
      <c r="M94" s="107">
        <f t="shared" ref="M94:M101" si="21">J94*F94</f>
        <v>6696.8671729386942</v>
      </c>
      <c r="N94" s="103">
        <f t="shared" ref="N94:N102" si="22">M94/G94</f>
        <v>1</v>
      </c>
    </row>
    <row r="95" spans="1:14" ht="43.5" customHeight="1" x14ac:dyDescent="0.2">
      <c r="A95" s="106" t="s">
        <v>158</v>
      </c>
      <c r="B95" s="11" t="s">
        <v>159</v>
      </c>
      <c r="C95" s="12" t="s">
        <v>46</v>
      </c>
      <c r="D95" s="13">
        <v>504.04</v>
      </c>
      <c r="E95" s="13">
        <f>[1]CPUs!I677</f>
        <v>41.924965599999993</v>
      </c>
      <c r="F95" s="13">
        <v>51.831834971279989</v>
      </c>
      <c r="G95" s="13">
        <f>(F95*D95)</f>
        <v>26125.318098923966</v>
      </c>
      <c r="H95" s="13">
        <v>352</v>
      </c>
      <c r="I95" s="13">
        <v>0</v>
      </c>
      <c r="J95" s="13">
        <f t="shared" si="18"/>
        <v>352</v>
      </c>
      <c r="K95" s="13">
        <f t="shared" si="19"/>
        <v>18244.805909890558</v>
      </c>
      <c r="L95" s="13">
        <f t="shared" si="20"/>
        <v>0</v>
      </c>
      <c r="M95" s="107">
        <f t="shared" si="21"/>
        <v>18244.805909890558</v>
      </c>
      <c r="N95" s="103">
        <f t="shared" si="22"/>
        <v>0.69835727323228325</v>
      </c>
    </row>
    <row r="96" spans="1:14" ht="40.5" customHeight="1" x14ac:dyDescent="0.2">
      <c r="A96" s="106" t="s">
        <v>160</v>
      </c>
      <c r="B96" s="11" t="s">
        <v>161</v>
      </c>
      <c r="C96" s="12" t="s">
        <v>46</v>
      </c>
      <c r="D96" s="13">
        <v>168.34</v>
      </c>
      <c r="E96" s="13">
        <f>[1]CPUs!I684</f>
        <v>33.394647919999997</v>
      </c>
      <c r="F96" s="13">
        <v>41.285803223495996</v>
      </c>
      <c r="G96" s="13">
        <f>F96*D96</f>
        <v>6950.0521146433166</v>
      </c>
      <c r="H96" s="13">
        <v>168.34</v>
      </c>
      <c r="I96" s="13">
        <v>0</v>
      </c>
      <c r="J96" s="13">
        <f t="shared" si="18"/>
        <v>168.34</v>
      </c>
      <c r="K96" s="13">
        <f t="shared" si="19"/>
        <v>6950.0521146433166</v>
      </c>
      <c r="L96" s="13">
        <f t="shared" si="20"/>
        <v>0</v>
      </c>
      <c r="M96" s="107">
        <f t="shared" si="21"/>
        <v>6950.0521146433166</v>
      </c>
      <c r="N96" s="103">
        <f t="shared" si="22"/>
        <v>1</v>
      </c>
    </row>
    <row r="97" spans="1:14" ht="38.25" hidden="1" customHeight="1" x14ac:dyDescent="0.2">
      <c r="A97" s="106" t="s">
        <v>162</v>
      </c>
      <c r="B97" s="11" t="s">
        <v>163</v>
      </c>
      <c r="C97" s="12" t="s">
        <v>46</v>
      </c>
      <c r="D97" s="13">
        <v>327.12</v>
      </c>
      <c r="E97" s="13">
        <f>[1]CPUs!I691</f>
        <v>55.781244319999999</v>
      </c>
      <c r="F97" s="13">
        <v>68.962352352815998</v>
      </c>
      <c r="G97" s="13">
        <f>F97*D97</f>
        <v>22558.964701653171</v>
      </c>
      <c r="H97" s="13">
        <v>0</v>
      </c>
      <c r="I97" s="13">
        <v>0</v>
      </c>
      <c r="J97" s="13">
        <f t="shared" si="18"/>
        <v>0</v>
      </c>
      <c r="K97" s="13">
        <f t="shared" si="19"/>
        <v>0</v>
      </c>
      <c r="L97" s="13">
        <f t="shared" si="20"/>
        <v>0</v>
      </c>
      <c r="M97" s="107">
        <f t="shared" si="21"/>
        <v>0</v>
      </c>
      <c r="N97" s="103">
        <f t="shared" si="22"/>
        <v>0</v>
      </c>
    </row>
    <row r="98" spans="1:14" ht="39" customHeight="1" x14ac:dyDescent="0.2">
      <c r="A98" s="106" t="s">
        <v>164</v>
      </c>
      <c r="B98" s="11" t="s">
        <v>165</v>
      </c>
      <c r="C98" s="12" t="s">
        <v>46</v>
      </c>
      <c r="D98" s="13">
        <v>260</v>
      </c>
      <c r="E98" s="13">
        <f>[1]CPUs!I701</f>
        <v>50.583785119999995</v>
      </c>
      <c r="F98" s="13">
        <v>62.536733543855995</v>
      </c>
      <c r="G98" s="13">
        <f>F98*D98</f>
        <v>16259.550721402558</v>
      </c>
      <c r="H98" s="13">
        <v>260</v>
      </c>
      <c r="I98" s="13">
        <v>0</v>
      </c>
      <c r="J98" s="13">
        <f t="shared" si="18"/>
        <v>260</v>
      </c>
      <c r="K98" s="13">
        <f t="shared" si="19"/>
        <v>16259.550721402558</v>
      </c>
      <c r="L98" s="13">
        <f t="shared" si="20"/>
        <v>0</v>
      </c>
      <c r="M98" s="107">
        <f t="shared" si="21"/>
        <v>16259.550721402558</v>
      </c>
      <c r="N98" s="103">
        <f t="shared" si="22"/>
        <v>1</v>
      </c>
    </row>
    <row r="99" spans="1:14" ht="41.25" hidden="1" customHeight="1" x14ac:dyDescent="0.2">
      <c r="A99" s="106" t="s">
        <v>166</v>
      </c>
      <c r="B99" s="11" t="s">
        <v>167</v>
      </c>
      <c r="C99" s="12" t="s">
        <v>46</v>
      </c>
      <c r="D99" s="13">
        <v>124</v>
      </c>
      <c r="E99" s="13">
        <f>[1]CPUs!I708</f>
        <v>76.955122159999988</v>
      </c>
      <c r="F99" s="13">
        <v>95.139617526407989</v>
      </c>
      <c r="G99" s="13">
        <f>F99*D99</f>
        <v>11797.31257327459</v>
      </c>
      <c r="H99" s="13">
        <v>0</v>
      </c>
      <c r="I99" s="13">
        <v>0</v>
      </c>
      <c r="J99" s="13">
        <f t="shared" si="18"/>
        <v>0</v>
      </c>
      <c r="K99" s="13">
        <f t="shared" si="19"/>
        <v>0</v>
      </c>
      <c r="L99" s="13">
        <f t="shared" si="20"/>
        <v>0</v>
      </c>
      <c r="M99" s="107">
        <f t="shared" si="21"/>
        <v>0</v>
      </c>
      <c r="N99" s="103">
        <f t="shared" si="22"/>
        <v>0</v>
      </c>
    </row>
    <row r="100" spans="1:14" ht="40.5" hidden="1" customHeight="1" x14ac:dyDescent="0.2">
      <c r="A100" s="106" t="s">
        <v>168</v>
      </c>
      <c r="B100" s="11" t="s">
        <v>169</v>
      </c>
      <c r="C100" s="12" t="s">
        <v>46</v>
      </c>
      <c r="D100" s="13">
        <v>260</v>
      </c>
      <c r="E100" s="13">
        <f>[1]CPUs!I718</f>
        <v>88.776238399999983</v>
      </c>
      <c r="F100" s="13">
        <v>109.75406353391998</v>
      </c>
      <c r="G100" s="13">
        <f>(F100*D100)</f>
        <v>28536.056518819194</v>
      </c>
      <c r="H100" s="13">
        <v>0</v>
      </c>
      <c r="I100" s="13">
        <v>0</v>
      </c>
      <c r="J100" s="13">
        <f t="shared" si="18"/>
        <v>0</v>
      </c>
      <c r="K100" s="13">
        <f t="shared" si="19"/>
        <v>0</v>
      </c>
      <c r="L100" s="13">
        <f t="shared" si="20"/>
        <v>0</v>
      </c>
      <c r="M100" s="107">
        <f t="shared" si="21"/>
        <v>0</v>
      </c>
      <c r="N100" s="103">
        <f t="shared" si="22"/>
        <v>0</v>
      </c>
    </row>
    <row r="101" spans="1:14" ht="24.75" customHeight="1" x14ac:dyDescent="0.2">
      <c r="A101" s="106" t="s">
        <v>170</v>
      </c>
      <c r="B101" s="11" t="s">
        <v>171</v>
      </c>
      <c r="C101" s="12" t="s">
        <v>172</v>
      </c>
      <c r="D101" s="13">
        <v>59.58</v>
      </c>
      <c r="E101" s="13">
        <f>[1]CPUs!I728</f>
        <v>124.54</v>
      </c>
      <c r="F101" s="13">
        <v>144.08000000000001</v>
      </c>
      <c r="G101" s="13">
        <f>(F101*D101)</f>
        <v>8584.2864000000009</v>
      </c>
      <c r="H101" s="13">
        <v>20</v>
      </c>
      <c r="I101" s="13">
        <v>0</v>
      </c>
      <c r="J101" s="13">
        <f t="shared" si="18"/>
        <v>20</v>
      </c>
      <c r="K101" s="13">
        <f t="shared" si="19"/>
        <v>2881.6000000000004</v>
      </c>
      <c r="L101" s="13">
        <f t="shared" si="20"/>
        <v>0</v>
      </c>
      <c r="M101" s="107">
        <f t="shared" si="21"/>
        <v>2881.6000000000004</v>
      </c>
      <c r="N101" s="103">
        <f t="shared" si="22"/>
        <v>0.33568311513930849</v>
      </c>
    </row>
    <row r="102" spans="1:14" ht="24.75" customHeight="1" x14ac:dyDescent="0.2">
      <c r="A102" s="108" t="s">
        <v>173</v>
      </c>
      <c r="B102" s="16" t="s">
        <v>174</v>
      </c>
      <c r="C102" s="16"/>
      <c r="D102" s="20"/>
      <c r="E102" s="19"/>
      <c r="F102" s="19"/>
      <c r="G102" s="20">
        <f>SUM(G103:G105)</f>
        <v>124996.67482873978</v>
      </c>
      <c r="H102" s="20"/>
      <c r="I102" s="19"/>
      <c r="J102" s="20"/>
      <c r="K102" s="20">
        <f>SUM(K103:K105)</f>
        <v>46578.079711800005</v>
      </c>
      <c r="L102" s="20">
        <f>SUM(L103:L105)</f>
        <v>46177.135601640832</v>
      </c>
      <c r="M102" s="109">
        <f>SUM(M103:M105)</f>
        <v>92755.215313440829</v>
      </c>
      <c r="N102" s="102">
        <f t="shared" si="22"/>
        <v>0.7420614623591103</v>
      </c>
    </row>
    <row r="103" spans="1:14" ht="24.75" hidden="1" customHeight="1" x14ac:dyDescent="0.2">
      <c r="A103" s="106" t="s">
        <v>175</v>
      </c>
      <c r="B103" s="11" t="s">
        <v>176</v>
      </c>
      <c r="C103" s="12" t="s">
        <v>46</v>
      </c>
      <c r="D103" s="13">
        <v>2383.16</v>
      </c>
      <c r="E103" s="13">
        <f>[1]CPUs!I734</f>
        <v>2.66</v>
      </c>
      <c r="F103" s="13">
        <v>3.08</v>
      </c>
      <c r="G103" s="13">
        <f>D103*F103</f>
        <v>7340.1327999999994</v>
      </c>
      <c r="H103" s="13">
        <v>0</v>
      </c>
      <c r="I103" s="13">
        <v>0</v>
      </c>
      <c r="J103" s="13">
        <f>H103+I103</f>
        <v>0</v>
      </c>
      <c r="K103" s="13">
        <f>H103*F103</f>
        <v>0</v>
      </c>
      <c r="L103" s="13">
        <f>I103*F103</f>
        <v>0</v>
      </c>
      <c r="M103" s="107">
        <f>J103*F103</f>
        <v>0</v>
      </c>
      <c r="N103" s="103">
        <f t="shared" ref="N103:N127" si="23">M103/G103</f>
        <v>0</v>
      </c>
    </row>
    <row r="104" spans="1:14" ht="32.25" hidden="1" customHeight="1" x14ac:dyDescent="0.2">
      <c r="A104" s="106" t="s">
        <v>177</v>
      </c>
      <c r="B104" s="11" t="s">
        <v>178</v>
      </c>
      <c r="C104" s="12" t="s">
        <v>46</v>
      </c>
      <c r="D104" s="13">
        <v>71.489999999999995</v>
      </c>
      <c r="E104" s="13">
        <f>[1]CPUs!I740</f>
        <v>26.76</v>
      </c>
      <c r="F104" s="13">
        <v>30.96</v>
      </c>
      <c r="G104" s="13">
        <f>D104*F104</f>
        <v>2213.3303999999998</v>
      </c>
      <c r="H104" s="13">
        <v>0</v>
      </c>
      <c r="I104" s="13">
        <v>0</v>
      </c>
      <c r="J104" s="13">
        <f>H104+I104</f>
        <v>0</v>
      </c>
      <c r="K104" s="13">
        <f>H104*F104</f>
        <v>0</v>
      </c>
      <c r="L104" s="13">
        <f>I104*F104</f>
        <v>0</v>
      </c>
      <c r="M104" s="107">
        <f>J104*F104</f>
        <v>0</v>
      </c>
      <c r="N104" s="103">
        <f t="shared" si="23"/>
        <v>0</v>
      </c>
    </row>
    <row r="105" spans="1:14" ht="45.75" customHeight="1" x14ac:dyDescent="0.2">
      <c r="A105" s="106" t="s">
        <v>179</v>
      </c>
      <c r="B105" s="11" t="s">
        <v>180</v>
      </c>
      <c r="C105" s="12" t="s">
        <v>46</v>
      </c>
      <c r="D105" s="13">
        <v>3098.11</v>
      </c>
      <c r="E105" s="13">
        <f>[1]CPUs!I746</f>
        <v>30.1403088</v>
      </c>
      <c r="F105" s="13">
        <v>37.262463769440004</v>
      </c>
      <c r="G105" s="13">
        <f>D105*F105</f>
        <v>115443.21162873978</v>
      </c>
      <c r="H105" s="13">
        <v>1250</v>
      </c>
      <c r="I105" s="13">
        <v>1239.24</v>
      </c>
      <c r="J105" s="13">
        <f>H105+I105</f>
        <v>2489.2399999999998</v>
      </c>
      <c r="K105" s="13">
        <f>H105*F105</f>
        <v>46578.079711800005</v>
      </c>
      <c r="L105" s="13">
        <f>I105*F105</f>
        <v>46177.135601640832</v>
      </c>
      <c r="M105" s="107">
        <f>J105*F105</f>
        <v>92755.215313440829</v>
      </c>
      <c r="N105" s="103">
        <f t="shared" si="23"/>
        <v>0.80347050298407729</v>
      </c>
    </row>
    <row r="106" spans="1:14" ht="24.75" customHeight="1" x14ac:dyDescent="0.2">
      <c r="A106" s="108" t="s">
        <v>181</v>
      </c>
      <c r="B106" s="16" t="s">
        <v>182</v>
      </c>
      <c r="C106" s="16"/>
      <c r="D106" s="20"/>
      <c r="E106" s="19"/>
      <c r="F106" s="19"/>
      <c r="G106" s="20">
        <f>G107+G112+G115</f>
        <v>680598.79581731744</v>
      </c>
      <c r="H106" s="20"/>
      <c r="I106" s="19"/>
      <c r="J106" s="20"/>
      <c r="K106" s="20">
        <f>K107+K112+K115</f>
        <v>516251.80300000001</v>
      </c>
      <c r="L106" s="20">
        <f>L107+L112+L115</f>
        <v>95654.63651584</v>
      </c>
      <c r="M106" s="109">
        <f>M107+M112+M115</f>
        <v>611906.43951584003</v>
      </c>
      <c r="N106" s="102">
        <f t="shared" si="23"/>
        <v>0.89907070549693502</v>
      </c>
    </row>
    <row r="107" spans="1:14" ht="24.75" customHeight="1" x14ac:dyDescent="0.2">
      <c r="A107" s="108" t="s">
        <v>183</v>
      </c>
      <c r="B107" s="16" t="s">
        <v>184</v>
      </c>
      <c r="C107" s="16"/>
      <c r="D107" s="20"/>
      <c r="E107" s="19"/>
      <c r="F107" s="19"/>
      <c r="G107" s="20">
        <f>SUM(G108:G111)</f>
        <v>434400.74131731747</v>
      </c>
      <c r="H107" s="20"/>
      <c r="I107" s="19"/>
      <c r="J107" s="20"/>
      <c r="K107" s="20">
        <f>SUM(K108:K111)</f>
        <v>313343.54310000001</v>
      </c>
      <c r="L107" s="20">
        <f>SUM(L108:L111)</f>
        <v>59046.228015840003</v>
      </c>
      <c r="M107" s="109">
        <f>SUM(M108:M111)</f>
        <v>372389.77111584001</v>
      </c>
      <c r="N107" s="102">
        <f t="shared" si="23"/>
        <v>0.85724939139507539</v>
      </c>
    </row>
    <row r="108" spans="1:14" ht="59.25" customHeight="1" x14ac:dyDescent="0.2">
      <c r="A108" s="106" t="s">
        <v>185</v>
      </c>
      <c r="B108" s="11" t="s">
        <v>186</v>
      </c>
      <c r="C108" s="12" t="s">
        <v>31</v>
      </c>
      <c r="D108" s="13">
        <v>3991.37</v>
      </c>
      <c r="E108" s="13">
        <f>[1]CPUs!I757</f>
        <v>8.91</v>
      </c>
      <c r="F108" s="13">
        <v>11.01</v>
      </c>
      <c r="G108" s="13">
        <f>D108*F108</f>
        <v>43944.983699999997</v>
      </c>
      <c r="H108" s="13">
        <v>3991.37</v>
      </c>
      <c r="I108" s="13">
        <v>0</v>
      </c>
      <c r="J108" s="13">
        <f>H108+I108</f>
        <v>3991.37</v>
      </c>
      <c r="K108" s="13">
        <f>H108*F108</f>
        <v>43944.983699999997</v>
      </c>
      <c r="L108" s="13">
        <f>I108*F108</f>
        <v>0</v>
      </c>
      <c r="M108" s="107">
        <f>J108*F108</f>
        <v>43944.983699999997</v>
      </c>
      <c r="N108" s="103">
        <f t="shared" si="23"/>
        <v>1</v>
      </c>
    </row>
    <row r="109" spans="1:14" ht="62.25" customHeight="1" x14ac:dyDescent="0.2">
      <c r="A109" s="106" t="s">
        <v>187</v>
      </c>
      <c r="B109" s="11" t="s">
        <v>188</v>
      </c>
      <c r="C109" s="12" t="s">
        <v>31</v>
      </c>
      <c r="D109" s="13">
        <v>3991.37</v>
      </c>
      <c r="E109" s="13">
        <f>[1]CPUs!I765</f>
        <v>31.79</v>
      </c>
      <c r="F109" s="13">
        <v>39.299999999999997</v>
      </c>
      <c r="G109" s="13">
        <f>D109*F109</f>
        <v>156860.84099999999</v>
      </c>
      <c r="H109" s="13">
        <v>3991.37</v>
      </c>
      <c r="I109" s="13">
        <v>0</v>
      </c>
      <c r="J109" s="13">
        <f>H109+I109</f>
        <v>3991.37</v>
      </c>
      <c r="K109" s="13">
        <f>H109*F109</f>
        <v>156860.84099999999</v>
      </c>
      <c r="L109" s="13">
        <f>I109*F109</f>
        <v>0</v>
      </c>
      <c r="M109" s="107">
        <f>J109*F109</f>
        <v>156860.84099999999</v>
      </c>
      <c r="N109" s="103">
        <f t="shared" si="23"/>
        <v>1</v>
      </c>
    </row>
    <row r="110" spans="1:14" ht="43.5" customHeight="1" x14ac:dyDescent="0.2">
      <c r="A110" s="106" t="s">
        <v>189</v>
      </c>
      <c r="B110" s="11" t="s">
        <v>190</v>
      </c>
      <c r="C110" s="12" t="s">
        <v>31</v>
      </c>
      <c r="D110" s="13">
        <v>1001.76</v>
      </c>
      <c r="E110" s="13">
        <f>[1]CPUs!I773</f>
        <v>90.87</v>
      </c>
      <c r="F110" s="13">
        <v>112.34</v>
      </c>
      <c r="G110" s="13">
        <f>(F110*D110)</f>
        <v>112537.7184</v>
      </c>
      <c r="H110" s="13">
        <v>1001.76</v>
      </c>
      <c r="I110" s="13">
        <v>0</v>
      </c>
      <c r="J110" s="13">
        <f>H110+I110</f>
        <v>1001.76</v>
      </c>
      <c r="K110" s="13">
        <f>H110*F110</f>
        <v>112537.7184</v>
      </c>
      <c r="L110" s="13">
        <f>I110*F110</f>
        <v>0</v>
      </c>
      <c r="M110" s="107">
        <f>J110*F110</f>
        <v>112537.7184</v>
      </c>
      <c r="N110" s="103">
        <f t="shared" si="23"/>
        <v>1</v>
      </c>
    </row>
    <row r="111" spans="1:14" ht="24.75" customHeight="1" x14ac:dyDescent="0.2">
      <c r="A111" s="106" t="s">
        <v>191</v>
      </c>
      <c r="B111" s="11" t="s">
        <v>192</v>
      </c>
      <c r="C111" s="12" t="s">
        <v>46</v>
      </c>
      <c r="D111" s="13">
        <v>1947.7</v>
      </c>
      <c r="E111" s="13">
        <f>[1]CPUs!I783</f>
        <v>50.274144</v>
      </c>
      <c r="F111" s="13">
        <v>62.153924227200001</v>
      </c>
      <c r="G111" s="13">
        <f>(F111*D111)</f>
        <v>121057.19821731745</v>
      </c>
      <c r="H111" s="13">
        <v>0</v>
      </c>
      <c r="I111" s="13">
        <v>950</v>
      </c>
      <c r="J111" s="13">
        <f>H111+I111</f>
        <v>950</v>
      </c>
      <c r="K111" s="13">
        <f>H111*F111</f>
        <v>0</v>
      </c>
      <c r="L111" s="13">
        <f>I111*F111</f>
        <v>59046.228015840003</v>
      </c>
      <c r="M111" s="107">
        <f>J111*F111</f>
        <v>59046.228015840003</v>
      </c>
      <c r="N111" s="103">
        <f t="shared" si="23"/>
        <v>0.48775478769831082</v>
      </c>
    </row>
    <row r="112" spans="1:14" ht="24.75" customHeight="1" x14ac:dyDescent="0.2">
      <c r="A112" s="108" t="s">
        <v>193</v>
      </c>
      <c r="B112" s="16" t="s">
        <v>194</v>
      </c>
      <c r="C112" s="16"/>
      <c r="D112" s="20"/>
      <c r="E112" s="19"/>
      <c r="F112" s="19"/>
      <c r="G112" s="20">
        <f>SUM(G113:G114)</f>
        <v>216969.965</v>
      </c>
      <c r="H112" s="20"/>
      <c r="I112" s="19"/>
      <c r="J112" s="20"/>
      <c r="K112" s="20">
        <f>SUM(K113:K114)</f>
        <v>188294.05650000001</v>
      </c>
      <c r="L112" s="20">
        <f>SUM(L113:L114)</f>
        <v>28675.908500000001</v>
      </c>
      <c r="M112" s="109">
        <f>SUM(M113:M114)</f>
        <v>216969.965</v>
      </c>
      <c r="N112" s="102">
        <f t="shared" si="23"/>
        <v>1</v>
      </c>
    </row>
    <row r="113" spans="1:14" ht="46.5" customHeight="1" x14ac:dyDescent="0.2">
      <c r="A113" s="106" t="s">
        <v>195</v>
      </c>
      <c r="B113" s="11" t="s">
        <v>196</v>
      </c>
      <c r="C113" s="12" t="s">
        <v>31</v>
      </c>
      <c r="D113" s="13">
        <v>3121.87</v>
      </c>
      <c r="E113" s="13">
        <f>[1]CPUs!I792</f>
        <v>49.65</v>
      </c>
      <c r="F113" s="13">
        <v>61.38</v>
      </c>
      <c r="G113" s="13">
        <f>D113*F113</f>
        <v>191620.3806</v>
      </c>
      <c r="H113" s="13">
        <v>2709.2669999999998</v>
      </c>
      <c r="I113" s="13">
        <v>412.60300000000001</v>
      </c>
      <c r="J113" s="13">
        <f>H113+I113</f>
        <v>3121.87</v>
      </c>
      <c r="K113" s="13">
        <f>H113*F113</f>
        <v>166294.80846</v>
      </c>
      <c r="L113" s="13">
        <f>I113*F113</f>
        <v>25325.57214</v>
      </c>
      <c r="M113" s="107">
        <f>J113*F113</f>
        <v>191620.3806</v>
      </c>
      <c r="N113" s="103">
        <f t="shared" si="23"/>
        <v>1</v>
      </c>
    </row>
    <row r="114" spans="1:14" ht="50.25" customHeight="1" x14ac:dyDescent="0.2">
      <c r="A114" s="106" t="s">
        <v>197</v>
      </c>
      <c r="B114" s="11" t="s">
        <v>198</v>
      </c>
      <c r="C114" s="12" t="s">
        <v>31</v>
      </c>
      <c r="D114" s="13">
        <v>3121.87</v>
      </c>
      <c r="E114" s="13">
        <f>[1]CPUs!I801</f>
        <v>6.57</v>
      </c>
      <c r="F114" s="13">
        <v>8.1199999999999992</v>
      </c>
      <c r="G114" s="13">
        <f>D114*F114</f>
        <v>25349.584399999996</v>
      </c>
      <c r="H114" s="13">
        <v>2709.2669999999998</v>
      </c>
      <c r="I114" s="13">
        <v>412.60300000000001</v>
      </c>
      <c r="J114" s="13">
        <f>H114+I114</f>
        <v>3121.87</v>
      </c>
      <c r="K114" s="13">
        <f>H114*F114</f>
        <v>21999.248039999995</v>
      </c>
      <c r="L114" s="13">
        <f>I114*F114</f>
        <v>3350.3363599999998</v>
      </c>
      <c r="M114" s="107">
        <f>J114*F114</f>
        <v>25349.584399999996</v>
      </c>
      <c r="N114" s="103">
        <f t="shared" si="23"/>
        <v>1</v>
      </c>
    </row>
    <row r="115" spans="1:14" ht="24.75" customHeight="1" x14ac:dyDescent="0.2">
      <c r="A115" s="108" t="s">
        <v>199</v>
      </c>
      <c r="B115" s="16" t="s">
        <v>200</v>
      </c>
      <c r="C115" s="16"/>
      <c r="D115" s="20"/>
      <c r="E115" s="19"/>
      <c r="F115" s="19"/>
      <c r="G115" s="20">
        <f>SUM(G116)</f>
        <v>29228.089499999998</v>
      </c>
      <c r="H115" s="20"/>
      <c r="I115" s="19"/>
      <c r="J115" s="20"/>
      <c r="K115" s="20">
        <f>SUM(K116)</f>
        <v>14614.2034</v>
      </c>
      <c r="L115" s="20">
        <f>SUM(L116)</f>
        <v>7932.5</v>
      </c>
      <c r="M115" s="109">
        <f>SUM(M116)</f>
        <v>22546.703399999999</v>
      </c>
      <c r="N115" s="102">
        <f t="shared" si="23"/>
        <v>0.77140530858166423</v>
      </c>
    </row>
    <row r="116" spans="1:14" ht="24.75" customHeight="1" x14ac:dyDescent="0.2">
      <c r="A116" s="106" t="s">
        <v>201</v>
      </c>
      <c r="B116" s="11" t="s">
        <v>202</v>
      </c>
      <c r="C116" s="12" t="s">
        <v>31</v>
      </c>
      <c r="D116" s="13">
        <v>921.15</v>
      </c>
      <c r="E116" s="13">
        <f>[1]CPUs!I810</f>
        <v>27.423000000000002</v>
      </c>
      <c r="F116" s="13">
        <v>31.73</v>
      </c>
      <c r="G116" s="13">
        <f>(F116*D116)</f>
        <v>29228.089499999998</v>
      </c>
      <c r="H116" s="13">
        <v>460.58</v>
      </c>
      <c r="I116" s="13">
        <v>250</v>
      </c>
      <c r="J116" s="13">
        <f>H116+I116</f>
        <v>710.57999999999993</v>
      </c>
      <c r="K116" s="13">
        <f>H116*F116</f>
        <v>14614.2034</v>
      </c>
      <c r="L116" s="13">
        <f>I116*F116</f>
        <v>7932.5</v>
      </c>
      <c r="M116" s="107">
        <f>J116*F116</f>
        <v>22546.703399999999</v>
      </c>
      <c r="N116" s="103">
        <f t="shared" si="23"/>
        <v>0.77140530858166423</v>
      </c>
    </row>
    <row r="117" spans="1:14" ht="24.75" customHeight="1" x14ac:dyDescent="0.2">
      <c r="A117" s="108" t="s">
        <v>203</v>
      </c>
      <c r="B117" s="16" t="s">
        <v>204</v>
      </c>
      <c r="C117" s="16"/>
      <c r="D117" s="20"/>
      <c r="E117" s="19"/>
      <c r="F117" s="19"/>
      <c r="G117" s="20">
        <f>G118+G122</f>
        <v>322157.1067292958</v>
      </c>
      <c r="H117" s="20"/>
      <c r="I117" s="19"/>
      <c r="J117" s="20"/>
      <c r="K117" s="20">
        <f>K118+K122</f>
        <v>57645.291169231961</v>
      </c>
      <c r="L117" s="20">
        <f>L118+L122</f>
        <v>152852.37597409746</v>
      </c>
      <c r="M117" s="109">
        <f>M118+M122</f>
        <v>210497.6671433294</v>
      </c>
      <c r="N117" s="102">
        <f t="shared" si="23"/>
        <v>0.6534006630504281</v>
      </c>
    </row>
    <row r="118" spans="1:14" ht="24.75" customHeight="1" x14ac:dyDescent="0.2">
      <c r="A118" s="108" t="s">
        <v>205</v>
      </c>
      <c r="B118" s="16" t="s">
        <v>206</v>
      </c>
      <c r="C118" s="16"/>
      <c r="D118" s="20"/>
      <c r="E118" s="19"/>
      <c r="F118" s="19"/>
      <c r="G118" s="20">
        <f>SUM(G119:G121)</f>
        <v>190733.43628938674</v>
      </c>
      <c r="H118" s="20"/>
      <c r="I118" s="19"/>
      <c r="J118" s="20"/>
      <c r="K118" s="20">
        <f>SUM(K119:K121)</f>
        <v>57645.291169231961</v>
      </c>
      <c r="L118" s="20">
        <f>SUM(L119:L121)</f>
        <v>88259.84625296171</v>
      </c>
      <c r="M118" s="109">
        <f>SUM(M119:M121)</f>
        <v>145905.13742219366</v>
      </c>
      <c r="N118" s="102">
        <f t="shared" si="23"/>
        <v>0.76496885003855231</v>
      </c>
    </row>
    <row r="119" spans="1:14" ht="24.75" customHeight="1" x14ac:dyDescent="0.2">
      <c r="A119" s="106" t="s">
        <v>207</v>
      </c>
      <c r="B119" s="11" t="s">
        <v>208</v>
      </c>
      <c r="C119" s="12" t="s">
        <v>31</v>
      </c>
      <c r="D119" s="13">
        <v>6284.36</v>
      </c>
      <c r="E119" s="13">
        <f>[1]CPUs!I816</f>
        <v>3.1255176000000002</v>
      </c>
      <c r="F119" s="13">
        <v>3.8640774088800001</v>
      </c>
      <c r="G119" s="13">
        <f>D119*F119</f>
        <v>24283.253505269116</v>
      </c>
      <c r="H119" s="13">
        <v>2819.48</v>
      </c>
      <c r="I119" s="13">
        <v>2908.02</v>
      </c>
      <c r="J119" s="13">
        <f>H119+I119</f>
        <v>5727.5</v>
      </c>
      <c r="K119" s="13">
        <f>H119*F119</f>
        <v>10894.688972788983</v>
      </c>
      <c r="L119" s="13">
        <f>I119*F119</f>
        <v>11236.814386571217</v>
      </c>
      <c r="M119" s="107">
        <f>J119*F119</f>
        <v>22131.503359360202</v>
      </c>
      <c r="N119" s="103">
        <f t="shared" si="23"/>
        <v>0.91138954483829704</v>
      </c>
    </row>
    <row r="120" spans="1:14" ht="24.75" customHeight="1" x14ac:dyDescent="0.2">
      <c r="A120" s="106" t="s">
        <v>209</v>
      </c>
      <c r="B120" s="11" t="s">
        <v>210</v>
      </c>
      <c r="C120" s="12" t="s">
        <v>31</v>
      </c>
      <c r="D120" s="13">
        <v>6284.36</v>
      </c>
      <c r="E120" s="13">
        <f>[1]CPUs!I824</f>
        <v>13.412023999999999</v>
      </c>
      <c r="F120" s="13">
        <v>16.581285271199999</v>
      </c>
      <c r="G120" s="13">
        <f>(F120*D120)</f>
        <v>104202.76590691842</v>
      </c>
      <c r="H120" s="13">
        <v>2819.48</v>
      </c>
      <c r="I120" s="13">
        <v>2908.02</v>
      </c>
      <c r="J120" s="13">
        <f>H120+I120</f>
        <v>5727.5</v>
      </c>
      <c r="K120" s="13">
        <f>H120*F120</f>
        <v>46750.602196442975</v>
      </c>
      <c r="L120" s="13">
        <f>I120*F120</f>
        <v>48218.709194355019</v>
      </c>
      <c r="M120" s="107">
        <f>J120*F120</f>
        <v>94969.311390797986</v>
      </c>
      <c r="N120" s="103">
        <f t="shared" si="23"/>
        <v>0.91138954483829704</v>
      </c>
    </row>
    <row r="121" spans="1:14" ht="24.75" customHeight="1" x14ac:dyDescent="0.2">
      <c r="A121" s="106" t="s">
        <v>211</v>
      </c>
      <c r="B121" s="11" t="s">
        <v>212</v>
      </c>
      <c r="C121" s="12" t="s">
        <v>31</v>
      </c>
      <c r="D121" s="13">
        <v>6284.36</v>
      </c>
      <c r="E121" s="13">
        <f>[1]CPUs!I833</f>
        <v>8.0119164000000005</v>
      </c>
      <c r="F121" s="13">
        <v>9.9051322453200008</v>
      </c>
      <c r="G121" s="13">
        <f>(F121*D121)</f>
        <v>62247.416877199197</v>
      </c>
      <c r="H121" s="13">
        <v>0</v>
      </c>
      <c r="I121" s="13">
        <v>2908.02</v>
      </c>
      <c r="J121" s="13">
        <f>H121+I121</f>
        <v>2908.02</v>
      </c>
      <c r="K121" s="13">
        <f>H121*F121</f>
        <v>0</v>
      </c>
      <c r="L121" s="13">
        <f>I121*F121</f>
        <v>28804.322672035469</v>
      </c>
      <c r="M121" s="107">
        <f>J121*F121</f>
        <v>28804.322672035469</v>
      </c>
      <c r="N121" s="103">
        <f t="shared" si="23"/>
        <v>0.46273924472818234</v>
      </c>
    </row>
    <row r="122" spans="1:14" ht="24.75" customHeight="1" x14ac:dyDescent="0.2">
      <c r="A122" s="108" t="s">
        <v>213</v>
      </c>
      <c r="B122" s="16" t="s">
        <v>214</v>
      </c>
      <c r="C122" s="16"/>
      <c r="D122" s="20"/>
      <c r="E122" s="19"/>
      <c r="F122" s="19"/>
      <c r="G122" s="20">
        <f>SUM(G123:G126)</f>
        <v>131423.67043990907</v>
      </c>
      <c r="H122" s="20"/>
      <c r="I122" s="19"/>
      <c r="J122" s="20"/>
      <c r="K122" s="20">
        <f>SUM(K123:K126)</f>
        <v>0</v>
      </c>
      <c r="L122" s="20">
        <f>SUM(L123:L126)</f>
        <v>64592.529721135747</v>
      </c>
      <c r="M122" s="109">
        <f>SUM(M123:M126)</f>
        <v>64592.529721135747</v>
      </c>
      <c r="N122" s="102">
        <f t="shared" si="23"/>
        <v>0.49148322752612084</v>
      </c>
    </row>
    <row r="123" spans="1:14" ht="24.75" customHeight="1" x14ac:dyDescent="0.2">
      <c r="A123" s="106" t="s">
        <v>215</v>
      </c>
      <c r="B123" s="11" t="s">
        <v>216</v>
      </c>
      <c r="C123" s="12" t="s">
        <v>31</v>
      </c>
      <c r="D123" s="13">
        <v>3121.87</v>
      </c>
      <c r="E123" s="13">
        <f>[1]CPUs!I841</f>
        <v>3.5169600000000001</v>
      </c>
      <c r="F123" s="13">
        <v>4.3480176479999999</v>
      </c>
      <c r="G123" s="13">
        <f>(F123*D123)</f>
        <v>13573.94585476176</v>
      </c>
      <c r="H123" s="13">
        <v>0</v>
      </c>
      <c r="I123" s="13">
        <v>1560.6</v>
      </c>
      <c r="J123" s="13">
        <f>H123+I123</f>
        <v>1560.6</v>
      </c>
      <c r="K123" s="13">
        <f>H123*F123</f>
        <v>0</v>
      </c>
      <c r="L123" s="13">
        <f>I123*F123</f>
        <v>6785.5163414687995</v>
      </c>
      <c r="M123" s="107">
        <f>J123*F123</f>
        <v>6785.5163414687995</v>
      </c>
      <c r="N123" s="103">
        <f t="shared" si="23"/>
        <v>0.49989269252082885</v>
      </c>
    </row>
    <row r="124" spans="1:14" ht="24.75" customHeight="1" x14ac:dyDescent="0.2">
      <c r="A124" s="106" t="s">
        <v>217</v>
      </c>
      <c r="B124" s="11" t="s">
        <v>218</v>
      </c>
      <c r="C124" s="12" t="s">
        <v>31</v>
      </c>
      <c r="D124" s="13">
        <v>3121.87</v>
      </c>
      <c r="E124" s="13">
        <f>[1]CPUs!I849</f>
        <v>14.727829631999999</v>
      </c>
      <c r="F124" s="13">
        <v>18.208015774041598</v>
      </c>
      <c r="G124" s="13">
        <f>(F124*D124)</f>
        <v>56843.058204507244</v>
      </c>
      <c r="H124" s="13">
        <v>0</v>
      </c>
      <c r="I124" s="13">
        <v>1560.6</v>
      </c>
      <c r="J124" s="13">
        <f>H124+I124</f>
        <v>1560.6</v>
      </c>
      <c r="K124" s="13">
        <f>H124*F124</f>
        <v>0</v>
      </c>
      <c r="L124" s="13">
        <f>I124*F124</f>
        <v>28415.429416969317</v>
      </c>
      <c r="M124" s="107">
        <f>J124*F124</f>
        <v>28415.429416969317</v>
      </c>
      <c r="N124" s="103">
        <f t="shared" si="23"/>
        <v>0.49989269252082885</v>
      </c>
    </row>
    <row r="125" spans="1:14" ht="24.75" customHeight="1" x14ac:dyDescent="0.2">
      <c r="A125" s="106" t="s">
        <v>219</v>
      </c>
      <c r="B125" s="11" t="s">
        <v>220</v>
      </c>
      <c r="C125" s="12" t="s">
        <v>31</v>
      </c>
      <c r="D125" s="13">
        <v>3121.87</v>
      </c>
      <c r="E125" s="13">
        <f>[1]CPUs!I858</f>
        <v>15.233774400000001</v>
      </c>
      <c r="F125" s="13">
        <v>18.833515290720001</v>
      </c>
      <c r="G125" s="13">
        <f>(F125*D125)</f>
        <v>58795.786380640049</v>
      </c>
      <c r="H125" s="13">
        <v>0</v>
      </c>
      <c r="I125" s="13">
        <v>1560.6</v>
      </c>
      <c r="J125" s="13">
        <f>H125+I125</f>
        <v>1560.6</v>
      </c>
      <c r="K125" s="13">
        <f>H125*F125</f>
        <v>0</v>
      </c>
      <c r="L125" s="13">
        <f>I125*F125</f>
        <v>29391.58396269763</v>
      </c>
      <c r="M125" s="107">
        <f>J125*F125</f>
        <v>29391.58396269763</v>
      </c>
      <c r="N125" s="103">
        <f t="shared" si="23"/>
        <v>0.4998926925208288</v>
      </c>
    </row>
    <row r="126" spans="1:14" ht="24.75" customHeight="1" x14ac:dyDescent="0.2">
      <c r="A126" s="106" t="s">
        <v>221</v>
      </c>
      <c r="B126" s="11" t="s">
        <v>222</v>
      </c>
      <c r="C126" s="12" t="s">
        <v>46</v>
      </c>
      <c r="D126" s="13">
        <v>336</v>
      </c>
      <c r="E126" s="13">
        <f>[1]CPUs!I866</f>
        <v>5.33</v>
      </c>
      <c r="F126" s="13">
        <v>6.58</v>
      </c>
      <c r="G126" s="13">
        <f>D126*F126</f>
        <v>2210.88</v>
      </c>
      <c r="H126" s="13">
        <v>0</v>
      </c>
      <c r="I126" s="13">
        <v>0</v>
      </c>
      <c r="J126" s="13">
        <f>H126+I126</f>
        <v>0</v>
      </c>
      <c r="K126" s="13">
        <f>H126*F126</f>
        <v>0</v>
      </c>
      <c r="L126" s="13">
        <f>I126*F126</f>
        <v>0</v>
      </c>
      <c r="M126" s="107">
        <f>J126*F126</f>
        <v>0</v>
      </c>
      <c r="N126" s="103">
        <f t="shared" si="23"/>
        <v>0</v>
      </c>
    </row>
    <row r="127" spans="1:14" ht="24.75" customHeight="1" x14ac:dyDescent="0.2">
      <c r="A127" s="108" t="s">
        <v>223</v>
      </c>
      <c r="B127" s="16" t="s">
        <v>224</v>
      </c>
      <c r="C127" s="16"/>
      <c r="D127" s="20"/>
      <c r="E127" s="19"/>
      <c r="F127" s="19"/>
      <c r="G127" s="20">
        <f>SUM(G128:G133)</f>
        <v>405463.82541994401</v>
      </c>
      <c r="H127" s="20"/>
      <c r="I127" s="19"/>
      <c r="J127" s="20"/>
      <c r="K127" s="20">
        <f>SUM(K128:K133)</f>
        <v>175071.19031596303</v>
      </c>
      <c r="L127" s="20">
        <f>SUM(L128:L133)</f>
        <v>72197.986903068813</v>
      </c>
      <c r="M127" s="109">
        <f>SUM(M128:M133)</f>
        <v>247269.17721903184</v>
      </c>
      <c r="N127" s="102">
        <f t="shared" si="23"/>
        <v>0.60984275715085567</v>
      </c>
    </row>
    <row r="128" spans="1:14" ht="47.25" customHeight="1" x14ac:dyDescent="0.2">
      <c r="A128" s="106" t="s">
        <v>225</v>
      </c>
      <c r="B128" s="11" t="s">
        <v>226</v>
      </c>
      <c r="C128" s="12" t="s">
        <v>31</v>
      </c>
      <c r="D128" s="13">
        <v>1502.473</v>
      </c>
      <c r="E128" s="13">
        <f>[1]CPUs!I876</f>
        <v>93.527987999999979</v>
      </c>
      <c r="F128" s="13">
        <v>115.62865156439997</v>
      </c>
      <c r="G128" s="13">
        <f>(F128*D128)</f>
        <v>173728.92700191872</v>
      </c>
      <c r="H128" s="13">
        <v>872</v>
      </c>
      <c r="I128" s="13">
        <v>225.37</v>
      </c>
      <c r="J128" s="13">
        <f t="shared" ref="J128:J133" si="24">H128+I128</f>
        <v>1097.3699999999999</v>
      </c>
      <c r="K128" s="13">
        <f t="shared" ref="K128:K133" si="25">H128*F128</f>
        <v>100828.18416415677</v>
      </c>
      <c r="L128" s="13">
        <f t="shared" ref="L128:L133" si="26">I128*F128</f>
        <v>26059.229203068822</v>
      </c>
      <c r="M128" s="107">
        <f t="shared" ref="M128:M133" si="27">J128*F128</f>
        <v>126887.41336722558</v>
      </c>
      <c r="N128" s="103">
        <f t="shared" ref="N128:N134" si="28">M128/G128</f>
        <v>0.73037585367590618</v>
      </c>
    </row>
    <row r="129" spans="1:14" ht="30.75" customHeight="1" x14ac:dyDescent="0.2">
      <c r="A129" s="106" t="s">
        <v>227</v>
      </c>
      <c r="B129" s="11" t="s">
        <v>228</v>
      </c>
      <c r="C129" s="12" t="s">
        <v>31</v>
      </c>
      <c r="D129" s="13">
        <v>1502.473</v>
      </c>
      <c r="E129" s="13">
        <f>[1]CPUs!I886</f>
        <v>36.129199999999997</v>
      </c>
      <c r="F129" s="13">
        <v>44.666529959999998</v>
      </c>
      <c r="G129" s="13">
        <f>(F129*D129)</f>
        <v>67110.255268591078</v>
      </c>
      <c r="H129" s="13">
        <v>62.5</v>
      </c>
      <c r="I129" s="13">
        <v>0</v>
      </c>
      <c r="J129" s="13">
        <f t="shared" si="24"/>
        <v>62.5</v>
      </c>
      <c r="K129" s="13">
        <f t="shared" si="25"/>
        <v>2791.6581225</v>
      </c>
      <c r="L129" s="13">
        <f t="shared" si="26"/>
        <v>0</v>
      </c>
      <c r="M129" s="107">
        <f t="shared" si="27"/>
        <v>2791.6581225</v>
      </c>
      <c r="N129" s="103">
        <f t="shared" si="28"/>
        <v>4.1598085290051802E-2</v>
      </c>
    </row>
    <row r="130" spans="1:14" ht="42" customHeight="1" x14ac:dyDescent="0.2">
      <c r="A130" s="106" t="s">
        <v>229</v>
      </c>
      <c r="B130" s="11" t="s">
        <v>230</v>
      </c>
      <c r="C130" s="12" t="s">
        <v>31</v>
      </c>
      <c r="D130" s="13">
        <v>675.21</v>
      </c>
      <c r="E130" s="13">
        <f>[1]CPUs!I894</f>
        <v>46.839680000000001</v>
      </c>
      <c r="F130" s="13">
        <v>57.907896384000004</v>
      </c>
      <c r="G130" s="13">
        <f>D130*F130</f>
        <v>39099.990717440647</v>
      </c>
      <c r="H130" s="13">
        <v>481.11000000000018</v>
      </c>
      <c r="I130" s="13">
        <v>0</v>
      </c>
      <c r="J130" s="13">
        <f t="shared" si="24"/>
        <v>481.11000000000018</v>
      </c>
      <c r="K130" s="13">
        <f t="shared" si="25"/>
        <v>27860.068029306254</v>
      </c>
      <c r="L130" s="13">
        <f t="shared" si="26"/>
        <v>0</v>
      </c>
      <c r="M130" s="107">
        <f t="shared" si="27"/>
        <v>27860.068029306254</v>
      </c>
      <c r="N130" s="103">
        <f t="shared" si="28"/>
        <v>0.71253387834895832</v>
      </c>
    </row>
    <row r="131" spans="1:14" ht="42" hidden="1" customHeight="1" x14ac:dyDescent="0.2">
      <c r="A131" s="106" t="s">
        <v>231</v>
      </c>
      <c r="B131" s="11" t="s">
        <v>232</v>
      </c>
      <c r="C131" s="12" t="s">
        <v>28</v>
      </c>
      <c r="D131" s="13">
        <v>65</v>
      </c>
      <c r="E131" s="13">
        <f>[1]CPUs!I903</f>
        <v>7.3111487999999998</v>
      </c>
      <c r="F131" s="13">
        <v>9.0387732614399994</v>
      </c>
      <c r="G131" s="13">
        <f>D131*F131</f>
        <v>587.5202619936</v>
      </c>
      <c r="H131" s="13">
        <v>0</v>
      </c>
      <c r="I131" s="13">
        <v>0</v>
      </c>
      <c r="J131" s="13">
        <f t="shared" si="24"/>
        <v>0</v>
      </c>
      <c r="K131" s="13">
        <f t="shared" si="25"/>
        <v>0</v>
      </c>
      <c r="L131" s="13">
        <f t="shared" si="26"/>
        <v>0</v>
      </c>
      <c r="M131" s="107">
        <f t="shared" si="27"/>
        <v>0</v>
      </c>
      <c r="N131" s="103">
        <f t="shared" si="28"/>
        <v>0</v>
      </c>
    </row>
    <row r="132" spans="1:14" ht="24.75" customHeight="1" x14ac:dyDescent="0.2">
      <c r="A132" s="106" t="s">
        <v>233</v>
      </c>
      <c r="B132" s="11" t="s">
        <v>234</v>
      </c>
      <c r="C132" s="12" t="s">
        <v>31</v>
      </c>
      <c r="D132" s="13">
        <v>47.1</v>
      </c>
      <c r="E132" s="13">
        <f>[1]CPUs!I912</f>
        <v>276.06</v>
      </c>
      <c r="F132" s="13">
        <v>341.29</v>
      </c>
      <c r="G132" s="13">
        <f>(F132*D132)</f>
        <v>16074.759000000002</v>
      </c>
      <c r="H132" s="13">
        <v>0</v>
      </c>
      <c r="I132" s="13">
        <v>23.55</v>
      </c>
      <c r="J132" s="13">
        <f t="shared" si="24"/>
        <v>23.55</v>
      </c>
      <c r="K132" s="13">
        <f t="shared" si="25"/>
        <v>0</v>
      </c>
      <c r="L132" s="13">
        <f t="shared" si="26"/>
        <v>8037.3795000000009</v>
      </c>
      <c r="M132" s="107">
        <f t="shared" si="27"/>
        <v>8037.3795000000009</v>
      </c>
      <c r="N132" s="103">
        <f t="shared" si="28"/>
        <v>0.5</v>
      </c>
    </row>
    <row r="133" spans="1:14" ht="39.75" customHeight="1" x14ac:dyDescent="0.2">
      <c r="A133" s="106" t="s">
        <v>235</v>
      </c>
      <c r="B133" s="11" t="s">
        <v>236</v>
      </c>
      <c r="C133" s="12" t="s">
        <v>31</v>
      </c>
      <c r="D133" s="13">
        <v>2177.683</v>
      </c>
      <c r="E133" s="13">
        <f>[1]CPUs!I920</f>
        <v>40.44</v>
      </c>
      <c r="F133" s="13">
        <v>49.99</v>
      </c>
      <c r="G133" s="13">
        <f>D133*F133</f>
        <v>108862.37317000001</v>
      </c>
      <c r="H133" s="13">
        <v>872</v>
      </c>
      <c r="I133" s="13">
        <v>762.18</v>
      </c>
      <c r="J133" s="13">
        <f t="shared" si="24"/>
        <v>1634.1799999999998</v>
      </c>
      <c r="K133" s="13">
        <f t="shared" si="25"/>
        <v>43591.28</v>
      </c>
      <c r="L133" s="13">
        <f t="shared" si="26"/>
        <v>38101.378199999999</v>
      </c>
      <c r="M133" s="107">
        <f t="shared" si="27"/>
        <v>81692.658199999991</v>
      </c>
      <c r="N133" s="103">
        <f t="shared" si="28"/>
        <v>0.75042143415731299</v>
      </c>
    </row>
    <row r="134" spans="1:14" ht="24.75" customHeight="1" x14ac:dyDescent="0.2">
      <c r="A134" s="108" t="s">
        <v>237</v>
      </c>
      <c r="B134" s="16" t="s">
        <v>238</v>
      </c>
      <c r="C134" s="16"/>
      <c r="D134" s="20"/>
      <c r="E134" s="19"/>
      <c r="F134" s="19"/>
      <c r="G134" s="20">
        <f>SUM(G135:G148)</f>
        <v>1456666.0026914463</v>
      </c>
      <c r="H134" s="20"/>
      <c r="I134" s="19"/>
      <c r="J134" s="20"/>
      <c r="K134" s="20">
        <f>SUM(K135:K148)</f>
        <v>446819.94011163327</v>
      </c>
      <c r="L134" s="20">
        <f>SUM(L135:L148)</f>
        <v>458194.06618655764</v>
      </c>
      <c r="M134" s="109">
        <f>SUM(M135:M148)</f>
        <v>905014.00629819091</v>
      </c>
      <c r="N134" s="102">
        <f t="shared" si="28"/>
        <v>0.62129136303450383</v>
      </c>
    </row>
    <row r="135" spans="1:14" ht="24.75" customHeight="1" x14ac:dyDescent="0.2">
      <c r="A135" s="106" t="s">
        <v>239</v>
      </c>
      <c r="B135" s="11" t="s">
        <v>240</v>
      </c>
      <c r="C135" s="12" t="s">
        <v>31</v>
      </c>
      <c r="D135" s="13">
        <v>2970.02</v>
      </c>
      <c r="E135" s="13">
        <f>[1]CPUs!I930</f>
        <v>154.07678000000001</v>
      </c>
      <c r="F135" s="13">
        <v>190.48512311400003</v>
      </c>
      <c r="G135" s="13">
        <f>(F135*D135)</f>
        <v>565744.62535104237</v>
      </c>
      <c r="H135" s="13">
        <v>1188.008</v>
      </c>
      <c r="I135" s="13">
        <v>594</v>
      </c>
      <c r="J135" s="13">
        <f t="shared" ref="J135:J148" si="29">H135+I135</f>
        <v>1782.008</v>
      </c>
      <c r="K135" s="13">
        <f t="shared" ref="K135:K148" si="30">H135*F135</f>
        <v>226297.85014041697</v>
      </c>
      <c r="L135" s="13">
        <f t="shared" ref="L135:L148" si="31">I135*F135</f>
        <v>113148.16312971602</v>
      </c>
      <c r="M135" s="107">
        <f t="shared" ref="M135:M148" si="32">J135*F135</f>
        <v>339446.013270133</v>
      </c>
      <c r="N135" s="103">
        <f t="shared" ref="N135:N149" si="33">M135/G135</f>
        <v>0.59999865320772261</v>
      </c>
    </row>
    <row r="136" spans="1:14" ht="42.75" customHeight="1" x14ac:dyDescent="0.2">
      <c r="A136" s="106" t="s">
        <v>241</v>
      </c>
      <c r="B136" s="11" t="s">
        <v>242</v>
      </c>
      <c r="C136" s="12" t="s">
        <v>31</v>
      </c>
      <c r="D136" s="13">
        <v>138.11000000000001</v>
      </c>
      <c r="E136" s="13">
        <f>[1]CPUs!I939</f>
        <v>116.37</v>
      </c>
      <c r="F136" s="13">
        <v>143.86000000000001</v>
      </c>
      <c r="G136" s="13">
        <f t="shared" ref="G136:G148" si="34">D136*F136</f>
        <v>19868.504600000004</v>
      </c>
      <c r="H136" s="13">
        <v>138.11000000000001</v>
      </c>
      <c r="I136" s="13">
        <v>0</v>
      </c>
      <c r="J136" s="13">
        <f t="shared" si="29"/>
        <v>138.11000000000001</v>
      </c>
      <c r="K136" s="13">
        <f t="shared" si="30"/>
        <v>19868.504600000004</v>
      </c>
      <c r="L136" s="13">
        <f t="shared" si="31"/>
        <v>0</v>
      </c>
      <c r="M136" s="107">
        <f t="shared" si="32"/>
        <v>19868.504600000004</v>
      </c>
      <c r="N136" s="103">
        <f t="shared" si="33"/>
        <v>1</v>
      </c>
    </row>
    <row r="137" spans="1:14" ht="37.5" customHeight="1" x14ac:dyDescent="0.2">
      <c r="A137" s="106" t="s">
        <v>243</v>
      </c>
      <c r="B137" s="11" t="s">
        <v>244</v>
      </c>
      <c r="C137" s="12" t="s">
        <v>31</v>
      </c>
      <c r="D137" s="13">
        <v>115.57</v>
      </c>
      <c r="E137" s="13">
        <f>[1]CPUs!I949</f>
        <v>303.2</v>
      </c>
      <c r="F137" s="13">
        <v>374.84</v>
      </c>
      <c r="G137" s="13">
        <f>(F137*D137)</f>
        <v>43320.258799999996</v>
      </c>
      <c r="H137" s="13">
        <v>57.784999999999997</v>
      </c>
      <c r="I137" s="13">
        <v>0</v>
      </c>
      <c r="J137" s="13">
        <f t="shared" si="29"/>
        <v>57.784999999999997</v>
      </c>
      <c r="K137" s="13">
        <f t="shared" si="30"/>
        <v>21660.129399999998</v>
      </c>
      <c r="L137" s="13">
        <f t="shared" si="31"/>
        <v>0</v>
      </c>
      <c r="M137" s="107">
        <f t="shared" si="32"/>
        <v>21660.129399999998</v>
      </c>
      <c r="N137" s="103">
        <f t="shared" si="33"/>
        <v>0.5</v>
      </c>
    </row>
    <row r="138" spans="1:14" ht="47.25" customHeight="1" x14ac:dyDescent="0.2">
      <c r="A138" s="106" t="s">
        <v>245</v>
      </c>
      <c r="B138" s="11" t="s">
        <v>246</v>
      </c>
      <c r="C138" s="12" t="s">
        <v>31</v>
      </c>
      <c r="D138" s="13">
        <v>4858.42</v>
      </c>
      <c r="E138" s="13">
        <f>[1]CPUs!I959</f>
        <v>48.442624999999992</v>
      </c>
      <c r="F138" s="13">
        <v>59.889617287499988</v>
      </c>
      <c r="G138" s="13">
        <f t="shared" si="34"/>
        <v>290968.91442193568</v>
      </c>
      <c r="H138" s="13">
        <v>2673.1000000000008</v>
      </c>
      <c r="I138" s="13">
        <v>1593.34</v>
      </c>
      <c r="J138" s="13">
        <f t="shared" si="29"/>
        <v>4266.4400000000005</v>
      </c>
      <c r="K138" s="13">
        <f t="shared" si="30"/>
        <v>160090.93597121627</v>
      </c>
      <c r="L138" s="13">
        <f t="shared" si="31"/>
        <v>95424.522808865222</v>
      </c>
      <c r="M138" s="107">
        <f t="shared" si="32"/>
        <v>255515.45878008148</v>
      </c>
      <c r="N138" s="103">
        <f t="shared" si="33"/>
        <v>0.87815380308824698</v>
      </c>
    </row>
    <row r="139" spans="1:14" ht="42" customHeight="1" x14ac:dyDescent="0.2">
      <c r="A139" s="106" t="s">
        <v>247</v>
      </c>
      <c r="B139" s="11" t="s">
        <v>248</v>
      </c>
      <c r="C139" s="12" t="s">
        <v>59</v>
      </c>
      <c r="D139" s="13">
        <v>108.884</v>
      </c>
      <c r="E139" s="13">
        <f>[1]CPUs!I967</f>
        <v>671.7</v>
      </c>
      <c r="F139" s="13">
        <v>830.42</v>
      </c>
      <c r="G139" s="13">
        <f t="shared" si="34"/>
        <v>90419.451279999994</v>
      </c>
      <c r="H139" s="13">
        <v>0</v>
      </c>
      <c r="I139" s="13">
        <v>55</v>
      </c>
      <c r="J139" s="13">
        <f t="shared" si="29"/>
        <v>55</v>
      </c>
      <c r="K139" s="13">
        <f t="shared" si="30"/>
        <v>0</v>
      </c>
      <c r="L139" s="13">
        <f t="shared" si="31"/>
        <v>45673.1</v>
      </c>
      <c r="M139" s="107">
        <f t="shared" si="32"/>
        <v>45673.1</v>
      </c>
      <c r="N139" s="103">
        <f t="shared" si="33"/>
        <v>0.50512471988538266</v>
      </c>
    </row>
    <row r="140" spans="1:14" ht="24.75" hidden="1" customHeight="1" x14ac:dyDescent="0.2">
      <c r="A140" s="106" t="s">
        <v>249</v>
      </c>
      <c r="B140" s="11" t="s">
        <v>250</v>
      </c>
      <c r="C140" s="12" t="s">
        <v>31</v>
      </c>
      <c r="D140" s="13">
        <v>15.5</v>
      </c>
      <c r="E140" s="13">
        <f>[1]CPUs!I980</f>
        <v>32.81</v>
      </c>
      <c r="F140" s="13">
        <v>40.56</v>
      </c>
      <c r="G140" s="13">
        <f t="shared" si="34"/>
        <v>628.68000000000006</v>
      </c>
      <c r="H140" s="13">
        <v>0</v>
      </c>
      <c r="I140" s="13">
        <v>0</v>
      </c>
      <c r="J140" s="13">
        <f t="shared" si="29"/>
        <v>0</v>
      </c>
      <c r="K140" s="13">
        <f t="shared" si="30"/>
        <v>0</v>
      </c>
      <c r="L140" s="13">
        <f t="shared" si="31"/>
        <v>0</v>
      </c>
      <c r="M140" s="107">
        <f t="shared" si="32"/>
        <v>0</v>
      </c>
      <c r="N140" s="103">
        <f t="shared" si="33"/>
        <v>0</v>
      </c>
    </row>
    <row r="141" spans="1:14" ht="24.75" customHeight="1" x14ac:dyDescent="0.2">
      <c r="A141" s="106" t="s">
        <v>251</v>
      </c>
      <c r="B141" s="11" t="s">
        <v>252</v>
      </c>
      <c r="C141" s="12" t="s">
        <v>31</v>
      </c>
      <c r="D141" s="13">
        <v>103.86</v>
      </c>
      <c r="E141" s="13">
        <f>[1]CPUs!I990</f>
        <v>294.43</v>
      </c>
      <c r="F141" s="13">
        <v>364</v>
      </c>
      <c r="G141" s="13">
        <f t="shared" si="34"/>
        <v>37805.040000000001</v>
      </c>
      <c r="H141" s="13">
        <v>51.93</v>
      </c>
      <c r="I141" s="13">
        <v>0</v>
      </c>
      <c r="J141" s="13">
        <f t="shared" si="29"/>
        <v>51.93</v>
      </c>
      <c r="K141" s="13">
        <f t="shared" si="30"/>
        <v>18902.52</v>
      </c>
      <c r="L141" s="13">
        <f t="shared" si="31"/>
        <v>0</v>
      </c>
      <c r="M141" s="107">
        <f t="shared" si="32"/>
        <v>18902.52</v>
      </c>
      <c r="N141" s="103">
        <f t="shared" si="33"/>
        <v>0.5</v>
      </c>
    </row>
    <row r="142" spans="1:14" ht="24.75" customHeight="1" x14ac:dyDescent="0.2">
      <c r="A142" s="106" t="s">
        <v>253</v>
      </c>
      <c r="B142" s="11" t="s">
        <v>254</v>
      </c>
      <c r="C142" s="12" t="s">
        <v>31</v>
      </c>
      <c r="D142" s="13">
        <v>228.77</v>
      </c>
      <c r="E142" s="13">
        <f>[1]CPUs!I1000</f>
        <v>457.15360000000004</v>
      </c>
      <c r="F142" s="13">
        <v>565.17899568000007</v>
      </c>
      <c r="G142" s="13">
        <f>(F142*D142)</f>
        <v>129295.99884171362</v>
      </c>
      <c r="H142" s="13">
        <v>0</v>
      </c>
      <c r="I142" s="13">
        <v>120</v>
      </c>
      <c r="J142" s="13">
        <f t="shared" si="29"/>
        <v>120</v>
      </c>
      <c r="K142" s="13">
        <f t="shared" si="30"/>
        <v>0</v>
      </c>
      <c r="L142" s="13">
        <f t="shared" si="31"/>
        <v>67821.479481600007</v>
      </c>
      <c r="M142" s="107">
        <f t="shared" si="32"/>
        <v>67821.479481600007</v>
      </c>
      <c r="N142" s="103">
        <f t="shared" si="33"/>
        <v>0.52454430213751801</v>
      </c>
    </row>
    <row r="143" spans="1:14" ht="31.5" customHeight="1" x14ac:dyDescent="0.2">
      <c r="A143" s="106" t="s">
        <v>255</v>
      </c>
      <c r="B143" s="11" t="s">
        <v>256</v>
      </c>
      <c r="C143" s="12" t="s">
        <v>59</v>
      </c>
      <c r="D143" s="13">
        <v>156.23009999999999</v>
      </c>
      <c r="E143" s="13">
        <f>[1]CPUs!I1009</f>
        <v>569.94000000000005</v>
      </c>
      <c r="F143" s="13">
        <v>704.61</v>
      </c>
      <c r="G143" s="13">
        <f t="shared" si="34"/>
        <v>110081.290761</v>
      </c>
      <c r="H143" s="13">
        <v>0</v>
      </c>
      <c r="I143" s="13">
        <v>124.98</v>
      </c>
      <c r="J143" s="13">
        <f t="shared" si="29"/>
        <v>124.98</v>
      </c>
      <c r="K143" s="13">
        <f t="shared" si="30"/>
        <v>0</v>
      </c>
      <c r="L143" s="13">
        <f t="shared" si="31"/>
        <v>88062.157800000001</v>
      </c>
      <c r="M143" s="107">
        <f t="shared" si="32"/>
        <v>88062.157800000001</v>
      </c>
      <c r="N143" s="103">
        <f t="shared" si="33"/>
        <v>0.79997388467395214</v>
      </c>
    </row>
    <row r="144" spans="1:14" ht="24.75" customHeight="1" x14ac:dyDescent="0.2">
      <c r="A144" s="106" t="s">
        <v>257</v>
      </c>
      <c r="B144" s="11" t="s">
        <v>258</v>
      </c>
      <c r="C144" s="12" t="s">
        <v>31</v>
      </c>
      <c r="D144" s="13">
        <v>1301.9177999999999</v>
      </c>
      <c r="E144" s="13">
        <f>[1]CPUs!I1019</f>
        <v>37.327599999999997</v>
      </c>
      <c r="F144" s="13">
        <v>46.148111879999995</v>
      </c>
      <c r="G144" s="13">
        <f>(F144*D144)</f>
        <v>60081.048292963453</v>
      </c>
      <c r="H144" s="13">
        <v>0</v>
      </c>
      <c r="I144" s="13">
        <v>1041.53</v>
      </c>
      <c r="J144" s="13">
        <f t="shared" si="29"/>
        <v>1041.53</v>
      </c>
      <c r="K144" s="13">
        <f t="shared" si="30"/>
        <v>0</v>
      </c>
      <c r="L144" s="13">
        <f t="shared" si="31"/>
        <v>48064.642966376392</v>
      </c>
      <c r="M144" s="107">
        <f t="shared" si="32"/>
        <v>48064.642966376392</v>
      </c>
      <c r="N144" s="103">
        <f t="shared" si="33"/>
        <v>0.7999967432659727</v>
      </c>
    </row>
    <row r="145" spans="1:14" ht="24.75" hidden="1" customHeight="1" x14ac:dyDescent="0.2">
      <c r="A145" s="106" t="s">
        <v>259</v>
      </c>
      <c r="B145" s="11" t="s">
        <v>260</v>
      </c>
      <c r="C145" s="12" t="s">
        <v>46</v>
      </c>
      <c r="D145" s="13">
        <v>379.72</v>
      </c>
      <c r="E145" s="13">
        <f>[1]CPUs!I1027</f>
        <v>135.51420000000002</v>
      </c>
      <c r="F145" s="13">
        <v>167.53620546000002</v>
      </c>
      <c r="G145" s="13">
        <f>(F145*D145)</f>
        <v>63616.84793727121</v>
      </c>
      <c r="H145" s="13">
        <v>0</v>
      </c>
      <c r="I145" s="13">
        <v>0</v>
      </c>
      <c r="J145" s="13">
        <f t="shared" si="29"/>
        <v>0</v>
      </c>
      <c r="K145" s="13">
        <f t="shared" si="30"/>
        <v>0</v>
      </c>
      <c r="L145" s="13">
        <f t="shared" si="31"/>
        <v>0</v>
      </c>
      <c r="M145" s="107">
        <f t="shared" si="32"/>
        <v>0</v>
      </c>
      <c r="N145" s="103">
        <f t="shared" si="33"/>
        <v>0</v>
      </c>
    </row>
    <row r="146" spans="1:14" ht="24.75" hidden="1" customHeight="1" x14ac:dyDescent="0.2">
      <c r="A146" s="106" t="s">
        <v>261</v>
      </c>
      <c r="B146" s="11" t="s">
        <v>262</v>
      </c>
      <c r="C146" s="12" t="s">
        <v>31</v>
      </c>
      <c r="D146" s="13">
        <v>14.64</v>
      </c>
      <c r="E146" s="13">
        <f>[1]CPUs!I1037</f>
        <v>131.48499999999999</v>
      </c>
      <c r="F146" s="13">
        <v>162.55490549999999</v>
      </c>
      <c r="G146" s="13">
        <f t="shared" si="34"/>
        <v>2379.8038165200001</v>
      </c>
      <c r="H146" s="13">
        <v>0</v>
      </c>
      <c r="I146" s="13">
        <v>0</v>
      </c>
      <c r="J146" s="13">
        <f t="shared" si="29"/>
        <v>0</v>
      </c>
      <c r="K146" s="13">
        <f t="shared" si="30"/>
        <v>0</v>
      </c>
      <c r="L146" s="13">
        <f t="shared" si="31"/>
        <v>0</v>
      </c>
      <c r="M146" s="107">
        <f t="shared" si="32"/>
        <v>0</v>
      </c>
      <c r="N146" s="103">
        <f t="shared" si="33"/>
        <v>0</v>
      </c>
    </row>
    <row r="147" spans="1:14" ht="24.75" hidden="1" customHeight="1" x14ac:dyDescent="0.2">
      <c r="A147" s="106" t="s">
        <v>263</v>
      </c>
      <c r="B147" s="11" t="s">
        <v>123</v>
      </c>
      <c r="C147" s="12" t="s">
        <v>79</v>
      </c>
      <c r="D147" s="13">
        <v>1926.8382999999999</v>
      </c>
      <c r="E147" s="13">
        <f>[1]CPUs!I1046</f>
        <v>15.98</v>
      </c>
      <c r="F147" s="13">
        <v>19.75</v>
      </c>
      <c r="G147" s="13">
        <f>(F147*D147)</f>
        <v>38055.056424999995</v>
      </c>
      <c r="H147" s="13">
        <v>0</v>
      </c>
      <c r="I147" s="13">
        <v>0</v>
      </c>
      <c r="J147" s="13">
        <f t="shared" si="29"/>
        <v>0</v>
      </c>
      <c r="K147" s="13">
        <f t="shared" si="30"/>
        <v>0</v>
      </c>
      <c r="L147" s="13">
        <f t="shared" si="31"/>
        <v>0</v>
      </c>
      <c r="M147" s="107">
        <f t="shared" si="32"/>
        <v>0</v>
      </c>
      <c r="N147" s="103">
        <f t="shared" si="33"/>
        <v>0</v>
      </c>
    </row>
    <row r="148" spans="1:14" ht="24.75" hidden="1" customHeight="1" x14ac:dyDescent="0.2">
      <c r="A148" s="106" t="s">
        <v>264</v>
      </c>
      <c r="B148" s="11" t="s">
        <v>265</v>
      </c>
      <c r="C148" s="12" t="s">
        <v>31</v>
      </c>
      <c r="D148" s="13">
        <v>1301.9177999999999</v>
      </c>
      <c r="E148" s="13">
        <f>[1]CPUs!I1056</f>
        <v>2.74</v>
      </c>
      <c r="F148" s="13">
        <v>3.38</v>
      </c>
      <c r="G148" s="13">
        <f t="shared" si="34"/>
        <v>4400.482164</v>
      </c>
      <c r="H148" s="13">
        <v>0</v>
      </c>
      <c r="I148" s="13">
        <v>0</v>
      </c>
      <c r="J148" s="13">
        <f t="shared" si="29"/>
        <v>0</v>
      </c>
      <c r="K148" s="13">
        <f t="shared" si="30"/>
        <v>0</v>
      </c>
      <c r="L148" s="13">
        <f t="shared" si="31"/>
        <v>0</v>
      </c>
      <c r="M148" s="107">
        <f t="shared" si="32"/>
        <v>0</v>
      </c>
      <c r="N148" s="103">
        <f t="shared" si="33"/>
        <v>0</v>
      </c>
    </row>
    <row r="149" spans="1:14" ht="24.75" customHeight="1" x14ac:dyDescent="0.2">
      <c r="A149" s="108" t="s">
        <v>266</v>
      </c>
      <c r="B149" s="16" t="s">
        <v>267</v>
      </c>
      <c r="C149" s="16"/>
      <c r="D149" s="20"/>
      <c r="E149" s="19"/>
      <c r="F149" s="19"/>
      <c r="G149" s="20">
        <f>SUM(G150)</f>
        <v>511656.49664258742</v>
      </c>
      <c r="H149" s="20"/>
      <c r="I149" s="19"/>
      <c r="J149" s="20"/>
      <c r="K149" s="20">
        <f>SUM(K150)</f>
        <v>255828.24832129371</v>
      </c>
      <c r="L149" s="20">
        <f>SUM(L150)</f>
        <v>153496.05595079373</v>
      </c>
      <c r="M149" s="109">
        <f>SUM(M150)</f>
        <v>409324.30427208747</v>
      </c>
      <c r="N149" s="102">
        <f t="shared" si="33"/>
        <v>0.79999825460638474</v>
      </c>
    </row>
    <row r="150" spans="1:14" ht="43.5" customHeight="1" x14ac:dyDescent="0.2">
      <c r="A150" s="106" t="s">
        <v>268</v>
      </c>
      <c r="B150" s="11" t="s">
        <v>269</v>
      </c>
      <c r="C150" s="12" t="s">
        <v>31</v>
      </c>
      <c r="D150" s="13">
        <v>3437.62</v>
      </c>
      <c r="E150" s="13">
        <f>[1]CPUs!I1064</f>
        <v>120.39175800000001</v>
      </c>
      <c r="F150" s="13">
        <v>148.84033041540002</v>
      </c>
      <c r="G150" s="13">
        <f>(F150*D150)</f>
        <v>511656.49664258742</v>
      </c>
      <c r="H150" s="13">
        <v>1718.81</v>
      </c>
      <c r="I150" s="13">
        <v>1031.28</v>
      </c>
      <c r="J150" s="13">
        <f>H150+I150</f>
        <v>2750.09</v>
      </c>
      <c r="K150" s="13">
        <f>H150*F150</f>
        <v>255828.24832129371</v>
      </c>
      <c r="L150" s="13">
        <f>I150*F150</f>
        <v>153496.05595079373</v>
      </c>
      <c r="M150" s="107">
        <f>J150*F150</f>
        <v>409324.30427208747</v>
      </c>
      <c r="N150" s="103">
        <f>M150/G150</f>
        <v>0.79999825460638474</v>
      </c>
    </row>
    <row r="151" spans="1:14" ht="24.75" hidden="1" customHeight="1" x14ac:dyDescent="0.2">
      <c r="A151" s="108" t="s">
        <v>270</v>
      </c>
      <c r="B151" s="16" t="s">
        <v>271</v>
      </c>
      <c r="C151" s="16"/>
      <c r="D151" s="20"/>
      <c r="E151" s="19"/>
      <c r="F151" s="19"/>
      <c r="G151" s="20">
        <f>SUM(G152:G160)</f>
        <v>329717.65730664838</v>
      </c>
      <c r="H151" s="20"/>
      <c r="I151" s="19"/>
      <c r="J151" s="20"/>
      <c r="K151" s="20">
        <f>SUM(K152:K160)</f>
        <v>0</v>
      </c>
      <c r="L151" s="20">
        <f>SUM(L152:L160)</f>
        <v>0</v>
      </c>
      <c r="M151" s="109">
        <f>SUM(M152:M160)</f>
        <v>0</v>
      </c>
      <c r="N151" s="102">
        <f>M151/G151</f>
        <v>0</v>
      </c>
    </row>
    <row r="152" spans="1:14" ht="24.75" hidden="1" customHeight="1" x14ac:dyDescent="0.2">
      <c r="A152" s="106" t="s">
        <v>272</v>
      </c>
      <c r="B152" s="11" t="s">
        <v>273</v>
      </c>
      <c r="C152" s="12" t="s">
        <v>274</v>
      </c>
      <c r="D152" s="13">
        <v>13</v>
      </c>
      <c r="E152" s="13">
        <f>[1]CPUs!I1075</f>
        <v>2153.0117999999998</v>
      </c>
      <c r="F152" s="13">
        <v>2661.7684883399997</v>
      </c>
      <c r="G152" s="13">
        <f>D152*F152</f>
        <v>34602.990348419997</v>
      </c>
      <c r="H152" s="13">
        <v>0</v>
      </c>
      <c r="I152" s="13">
        <v>0</v>
      </c>
      <c r="J152" s="13">
        <f t="shared" ref="J152:J160" si="35">H152+I152</f>
        <v>0</v>
      </c>
      <c r="K152" s="13">
        <f t="shared" ref="K152:K160" si="36">H152*F152</f>
        <v>0</v>
      </c>
      <c r="L152" s="13">
        <f t="shared" ref="L152:L160" si="37">I152*F152</f>
        <v>0</v>
      </c>
      <c r="M152" s="107">
        <f t="shared" ref="M152:M160" si="38">J152*F152</f>
        <v>0</v>
      </c>
      <c r="N152" s="103">
        <f t="shared" ref="N152:N161" si="39">M152/G152</f>
        <v>0</v>
      </c>
    </row>
    <row r="153" spans="1:14" ht="24.75" hidden="1" customHeight="1" x14ac:dyDescent="0.2">
      <c r="A153" s="106" t="s">
        <v>275</v>
      </c>
      <c r="B153" s="11" t="s">
        <v>276</v>
      </c>
      <c r="C153" s="12" t="s">
        <v>28</v>
      </c>
      <c r="D153" s="13">
        <v>4</v>
      </c>
      <c r="E153" s="13">
        <f>[1]CPUs!I1087</f>
        <v>2914.6871999999994</v>
      </c>
      <c r="F153" s="13">
        <v>3603.4277853599992</v>
      </c>
      <c r="G153" s="13">
        <f>D153*F153</f>
        <v>14413.711141439997</v>
      </c>
      <c r="H153" s="13">
        <v>0</v>
      </c>
      <c r="I153" s="13">
        <v>0</v>
      </c>
      <c r="J153" s="13">
        <f t="shared" si="35"/>
        <v>0</v>
      </c>
      <c r="K153" s="13">
        <f t="shared" si="36"/>
        <v>0</v>
      </c>
      <c r="L153" s="13">
        <f t="shared" si="37"/>
        <v>0</v>
      </c>
      <c r="M153" s="107">
        <f t="shared" si="38"/>
        <v>0</v>
      </c>
      <c r="N153" s="103">
        <f t="shared" si="39"/>
        <v>0</v>
      </c>
    </row>
    <row r="154" spans="1:14" ht="24.75" hidden="1" customHeight="1" x14ac:dyDescent="0.2">
      <c r="A154" s="106" t="s">
        <v>277</v>
      </c>
      <c r="B154" s="11" t="s">
        <v>278</v>
      </c>
      <c r="C154" s="12" t="s">
        <v>28</v>
      </c>
      <c r="D154" s="13">
        <v>10</v>
      </c>
      <c r="E154" s="13">
        <f>[1]CPUs!I1097</f>
        <v>1452.9035999999996</v>
      </c>
      <c r="F154" s="13">
        <v>1796.2247206799996</v>
      </c>
      <c r="G154" s="13">
        <f>(F154*D154)</f>
        <v>17962.247206799995</v>
      </c>
      <c r="H154" s="13">
        <v>0</v>
      </c>
      <c r="I154" s="13">
        <v>0</v>
      </c>
      <c r="J154" s="13">
        <f t="shared" si="35"/>
        <v>0</v>
      </c>
      <c r="K154" s="13">
        <f t="shared" si="36"/>
        <v>0</v>
      </c>
      <c r="L154" s="13">
        <f t="shared" si="37"/>
        <v>0</v>
      </c>
      <c r="M154" s="107">
        <f t="shared" si="38"/>
        <v>0</v>
      </c>
      <c r="N154" s="103">
        <f t="shared" si="39"/>
        <v>0</v>
      </c>
    </row>
    <row r="155" spans="1:14" ht="24.75" hidden="1" customHeight="1" x14ac:dyDescent="0.2">
      <c r="A155" s="106" t="s">
        <v>279</v>
      </c>
      <c r="B155" s="11" t="s">
        <v>280</v>
      </c>
      <c r="C155" s="12" t="s">
        <v>28</v>
      </c>
      <c r="D155" s="13">
        <v>3</v>
      </c>
      <c r="E155" s="13">
        <f>[1]CPUs!I1107</f>
        <v>2769.5351999999998</v>
      </c>
      <c r="F155" s="13">
        <v>3423.9763677599999</v>
      </c>
      <c r="G155" s="13">
        <f>(F155*D155)</f>
        <v>10271.929103279999</v>
      </c>
      <c r="H155" s="13">
        <v>0</v>
      </c>
      <c r="I155" s="13">
        <v>0</v>
      </c>
      <c r="J155" s="13">
        <f t="shared" si="35"/>
        <v>0</v>
      </c>
      <c r="K155" s="13">
        <f t="shared" si="36"/>
        <v>0</v>
      </c>
      <c r="L155" s="13">
        <f t="shared" si="37"/>
        <v>0</v>
      </c>
      <c r="M155" s="107">
        <f t="shared" si="38"/>
        <v>0</v>
      </c>
      <c r="N155" s="103">
        <f t="shared" si="39"/>
        <v>0</v>
      </c>
    </row>
    <row r="156" spans="1:14" ht="24.75" hidden="1" customHeight="1" x14ac:dyDescent="0.2">
      <c r="A156" s="106" t="s">
        <v>281</v>
      </c>
      <c r="B156" s="11" t="s">
        <v>282</v>
      </c>
      <c r="C156" s="12" t="s">
        <v>28</v>
      </c>
      <c r="D156" s="13">
        <v>13</v>
      </c>
      <c r="E156" s="13">
        <f>[1]CPUs!I1117</f>
        <v>1074.2539999999999</v>
      </c>
      <c r="F156" s="13">
        <v>1328.1002202</v>
      </c>
      <c r="G156" s="13">
        <f>D156*F156</f>
        <v>17265.302862600001</v>
      </c>
      <c r="H156" s="13">
        <v>0</v>
      </c>
      <c r="I156" s="13">
        <v>0</v>
      </c>
      <c r="J156" s="13">
        <f t="shared" si="35"/>
        <v>0</v>
      </c>
      <c r="K156" s="13">
        <f t="shared" si="36"/>
        <v>0</v>
      </c>
      <c r="L156" s="13">
        <f t="shared" si="37"/>
        <v>0</v>
      </c>
      <c r="M156" s="107">
        <f t="shared" si="38"/>
        <v>0</v>
      </c>
      <c r="N156" s="103">
        <f t="shared" si="39"/>
        <v>0</v>
      </c>
    </row>
    <row r="157" spans="1:14" ht="24.75" hidden="1" customHeight="1" x14ac:dyDescent="0.2">
      <c r="A157" s="106" t="s">
        <v>283</v>
      </c>
      <c r="B157" s="11" t="s">
        <v>284</v>
      </c>
      <c r="C157" s="12" t="s">
        <v>28</v>
      </c>
      <c r="D157" s="13">
        <v>32</v>
      </c>
      <c r="E157" s="13">
        <f>[1]CPUs!I1127</f>
        <v>674.47440000000006</v>
      </c>
      <c r="F157" s="13">
        <v>833.85270072000003</v>
      </c>
      <c r="G157" s="13">
        <f>(F157*D157)</f>
        <v>26683.286423040001</v>
      </c>
      <c r="H157" s="13">
        <v>0</v>
      </c>
      <c r="I157" s="13">
        <v>0</v>
      </c>
      <c r="J157" s="13">
        <f t="shared" si="35"/>
        <v>0</v>
      </c>
      <c r="K157" s="13">
        <f t="shared" si="36"/>
        <v>0</v>
      </c>
      <c r="L157" s="13">
        <f t="shared" si="37"/>
        <v>0</v>
      </c>
      <c r="M157" s="107">
        <f t="shared" si="38"/>
        <v>0</v>
      </c>
      <c r="N157" s="103">
        <f t="shared" si="39"/>
        <v>0</v>
      </c>
    </row>
    <row r="158" spans="1:14" ht="24.75" hidden="1" customHeight="1" x14ac:dyDescent="0.2">
      <c r="A158" s="106" t="s">
        <v>285</v>
      </c>
      <c r="B158" s="11" t="s">
        <v>286</v>
      </c>
      <c r="C158" s="12" t="s">
        <v>28</v>
      </c>
      <c r="D158" s="13">
        <v>116</v>
      </c>
      <c r="E158" s="13">
        <f>[1]CPUs!I1135</f>
        <v>686.39159999999993</v>
      </c>
      <c r="F158" s="13">
        <v>848.5859350799999</v>
      </c>
      <c r="G158" s="13">
        <f>(F158*D158)</f>
        <v>98435.968469279993</v>
      </c>
      <c r="H158" s="13">
        <v>0</v>
      </c>
      <c r="I158" s="13">
        <v>0</v>
      </c>
      <c r="J158" s="13">
        <f t="shared" si="35"/>
        <v>0</v>
      </c>
      <c r="K158" s="13">
        <f t="shared" si="36"/>
        <v>0</v>
      </c>
      <c r="L158" s="13">
        <f t="shared" si="37"/>
        <v>0</v>
      </c>
      <c r="M158" s="107">
        <f t="shared" si="38"/>
        <v>0</v>
      </c>
      <c r="N158" s="103">
        <f t="shared" si="39"/>
        <v>0</v>
      </c>
    </row>
    <row r="159" spans="1:14" ht="24.75" hidden="1" customHeight="1" x14ac:dyDescent="0.2">
      <c r="A159" s="106" t="s">
        <v>287</v>
      </c>
      <c r="B159" s="11" t="s">
        <v>288</v>
      </c>
      <c r="C159" s="12" t="s">
        <v>28</v>
      </c>
      <c r="D159" s="13">
        <v>42</v>
      </c>
      <c r="E159" s="13">
        <f>[1]CPUs!I1143</f>
        <v>898.26440000000002</v>
      </c>
      <c r="F159" s="13">
        <v>1110.5242777200001</v>
      </c>
      <c r="G159" s="13">
        <f>(F159*D159)</f>
        <v>46642.019664240004</v>
      </c>
      <c r="H159" s="13">
        <v>0</v>
      </c>
      <c r="I159" s="13">
        <v>0</v>
      </c>
      <c r="J159" s="13">
        <f t="shared" si="35"/>
        <v>0</v>
      </c>
      <c r="K159" s="13">
        <f t="shared" si="36"/>
        <v>0</v>
      </c>
      <c r="L159" s="13">
        <f t="shared" si="37"/>
        <v>0</v>
      </c>
      <c r="M159" s="107">
        <f t="shared" si="38"/>
        <v>0</v>
      </c>
      <c r="N159" s="103">
        <f t="shared" si="39"/>
        <v>0</v>
      </c>
    </row>
    <row r="160" spans="1:14" ht="24.75" hidden="1" customHeight="1" x14ac:dyDescent="0.2">
      <c r="A160" s="106" t="s">
        <v>289</v>
      </c>
      <c r="B160" s="11" t="s">
        <v>290</v>
      </c>
      <c r="C160" s="12" t="s">
        <v>31</v>
      </c>
      <c r="D160" s="13">
        <v>47.05</v>
      </c>
      <c r="E160" s="13">
        <f>[1]CPUs!I1152</f>
        <v>1090.63909352</v>
      </c>
      <c r="F160" s="13">
        <v>1348.3571113187759</v>
      </c>
      <c r="G160" s="13">
        <f>D160*F160</f>
        <v>63440.202087548401</v>
      </c>
      <c r="H160" s="13">
        <v>0</v>
      </c>
      <c r="I160" s="13">
        <v>0</v>
      </c>
      <c r="J160" s="13">
        <f t="shared" si="35"/>
        <v>0</v>
      </c>
      <c r="K160" s="13">
        <f t="shared" si="36"/>
        <v>0</v>
      </c>
      <c r="L160" s="13">
        <f t="shared" si="37"/>
        <v>0</v>
      </c>
      <c r="M160" s="107">
        <f t="shared" si="38"/>
        <v>0</v>
      </c>
      <c r="N160" s="103">
        <f t="shared" si="39"/>
        <v>0</v>
      </c>
    </row>
    <row r="161" spans="1:14" ht="24.75" customHeight="1" x14ac:dyDescent="0.2">
      <c r="A161" s="108" t="s">
        <v>291</v>
      </c>
      <c r="B161" s="16" t="s">
        <v>292</v>
      </c>
      <c r="C161" s="16"/>
      <c r="D161" s="20"/>
      <c r="E161" s="19"/>
      <c r="F161" s="19"/>
      <c r="G161" s="20">
        <f>SUM(G162)</f>
        <v>1748306.1216199799</v>
      </c>
      <c r="H161" s="20"/>
      <c r="I161" s="19"/>
      <c r="J161" s="20"/>
      <c r="K161" s="20">
        <f>SUM(K162)</f>
        <v>874153.06080998993</v>
      </c>
      <c r="L161" s="20">
        <f>SUM(L162)</f>
        <v>236166.48210655496</v>
      </c>
      <c r="M161" s="109">
        <f>SUM(M162)</f>
        <v>1110319.5429165449</v>
      </c>
      <c r="N161" s="102">
        <f t="shared" si="39"/>
        <v>0.6350830264712013</v>
      </c>
    </row>
    <row r="162" spans="1:14" ht="42" customHeight="1" x14ac:dyDescent="0.2">
      <c r="A162" s="106" t="s">
        <v>293</v>
      </c>
      <c r="B162" s="11" t="s">
        <v>294</v>
      </c>
      <c r="C162" s="12" t="s">
        <v>31</v>
      </c>
      <c r="D162" s="13">
        <v>1151.44</v>
      </c>
      <c r="E162" s="13">
        <f>[1]CPUs!I1162</f>
        <v>1228.1524999999999</v>
      </c>
      <c r="F162" s="13">
        <v>1518.3649357499999</v>
      </c>
      <c r="G162" s="13">
        <f>D162*F162</f>
        <v>1748306.1216199799</v>
      </c>
      <c r="H162" s="13">
        <v>575.72</v>
      </c>
      <c r="I162" s="13">
        <v>155.54</v>
      </c>
      <c r="J162" s="13">
        <f>H162+I162</f>
        <v>731.26</v>
      </c>
      <c r="K162" s="13">
        <f>H162*F162</f>
        <v>874153.06080998993</v>
      </c>
      <c r="L162" s="13">
        <f>I162*F162</f>
        <v>236166.48210655496</v>
      </c>
      <c r="M162" s="107">
        <f>J162*F162</f>
        <v>1110319.5429165449</v>
      </c>
      <c r="N162" s="103">
        <f>M162/G162</f>
        <v>0.6350830264712013</v>
      </c>
    </row>
    <row r="163" spans="1:14" ht="24.75" customHeight="1" x14ac:dyDescent="0.2">
      <c r="A163" s="108" t="s">
        <v>295</v>
      </c>
      <c r="B163" s="16" t="s">
        <v>296</v>
      </c>
      <c r="C163" s="16"/>
      <c r="D163" s="20"/>
      <c r="E163" s="19"/>
      <c r="F163" s="19"/>
      <c r="G163" s="20">
        <f>SUM(G164:G171)</f>
        <v>128214.95577900487</v>
      </c>
      <c r="H163" s="20"/>
      <c r="I163" s="19"/>
      <c r="J163" s="20"/>
      <c r="K163" s="20">
        <f>SUM(K164:K171)</f>
        <v>10486.551261975361</v>
      </c>
      <c r="L163" s="20">
        <f>SUM(L164:L171)</f>
        <v>40546.688306719996</v>
      </c>
      <c r="M163" s="109">
        <f>SUM(M164:M171)</f>
        <v>51033.239568695353</v>
      </c>
      <c r="N163" s="102">
        <f>M163/G163</f>
        <v>0.3980287577110565</v>
      </c>
    </row>
    <row r="164" spans="1:14" ht="24.75" customHeight="1" x14ac:dyDescent="0.2">
      <c r="A164" s="106" t="s">
        <v>297</v>
      </c>
      <c r="B164" s="11" t="s">
        <v>298</v>
      </c>
      <c r="C164" s="12" t="s">
        <v>28</v>
      </c>
      <c r="D164" s="13">
        <v>61</v>
      </c>
      <c r="E164" s="13">
        <f>[1]CPUs!I1176</f>
        <v>433.3064</v>
      </c>
      <c r="F164" s="13">
        <v>535.69670231999999</v>
      </c>
      <c r="G164" s="13">
        <f>(F164*D164)</f>
        <v>32677.498841519999</v>
      </c>
      <c r="H164" s="13">
        <v>0</v>
      </c>
      <c r="I164" s="13">
        <v>46</v>
      </c>
      <c r="J164" s="13">
        <f t="shared" ref="J164:J171" si="40">H164+I164</f>
        <v>46</v>
      </c>
      <c r="K164" s="13">
        <f t="shared" ref="K164:K171" si="41">H164*F164</f>
        <v>0</v>
      </c>
      <c r="L164" s="13">
        <f t="shared" ref="L164:L171" si="42">I164*F164</f>
        <v>24642.04830672</v>
      </c>
      <c r="M164" s="107">
        <f t="shared" ref="M164:M171" si="43">J164*F164</f>
        <v>24642.04830672</v>
      </c>
      <c r="N164" s="103">
        <f t="shared" ref="N164:N173" si="44">M164/G164</f>
        <v>0.75409836065573776</v>
      </c>
    </row>
    <row r="165" spans="1:14" ht="24.75" customHeight="1" x14ac:dyDescent="0.2">
      <c r="A165" s="106" t="s">
        <v>299</v>
      </c>
      <c r="B165" s="11" t="s">
        <v>300</v>
      </c>
      <c r="C165" s="12" t="s">
        <v>28</v>
      </c>
      <c r="D165" s="13">
        <v>16</v>
      </c>
      <c r="E165" s="13">
        <f>[1]CPUs!I1183</f>
        <v>804.05</v>
      </c>
      <c r="F165" s="13">
        <v>994.04</v>
      </c>
      <c r="G165" s="13">
        <f t="shared" ref="G165:G171" si="45">D165*F165</f>
        <v>15904.64</v>
      </c>
      <c r="H165" s="13">
        <v>0</v>
      </c>
      <c r="I165" s="13">
        <v>16</v>
      </c>
      <c r="J165" s="13">
        <f t="shared" si="40"/>
        <v>16</v>
      </c>
      <c r="K165" s="13">
        <f t="shared" si="41"/>
        <v>0</v>
      </c>
      <c r="L165" s="13">
        <f t="shared" si="42"/>
        <v>15904.64</v>
      </c>
      <c r="M165" s="107">
        <f t="shared" si="43"/>
        <v>15904.64</v>
      </c>
      <c r="N165" s="103">
        <f t="shared" si="44"/>
        <v>1</v>
      </c>
    </row>
    <row r="166" spans="1:14" ht="24.75" hidden="1" customHeight="1" x14ac:dyDescent="0.2">
      <c r="A166" s="106" t="s">
        <v>301</v>
      </c>
      <c r="B166" s="11" t="s">
        <v>302</v>
      </c>
      <c r="C166" s="12" t="s">
        <v>28</v>
      </c>
      <c r="D166" s="13">
        <v>77</v>
      </c>
      <c r="E166" s="13">
        <f>[1]CPUs!I1190</f>
        <v>41.57</v>
      </c>
      <c r="F166" s="13">
        <v>51.39</v>
      </c>
      <c r="G166" s="13">
        <f t="shared" si="45"/>
        <v>3957.03</v>
      </c>
      <c r="H166" s="13">
        <v>0</v>
      </c>
      <c r="I166" s="13">
        <v>0</v>
      </c>
      <c r="J166" s="13">
        <f t="shared" si="40"/>
        <v>0</v>
      </c>
      <c r="K166" s="13">
        <f t="shared" si="41"/>
        <v>0</v>
      </c>
      <c r="L166" s="13">
        <f t="shared" si="42"/>
        <v>0</v>
      </c>
      <c r="M166" s="107">
        <f t="shared" si="43"/>
        <v>0</v>
      </c>
      <c r="N166" s="103">
        <f t="shared" si="44"/>
        <v>0</v>
      </c>
    </row>
    <row r="167" spans="1:14" ht="24.75" hidden="1" customHeight="1" x14ac:dyDescent="0.2">
      <c r="A167" s="106" t="s">
        <v>303</v>
      </c>
      <c r="B167" s="11" t="s">
        <v>304</v>
      </c>
      <c r="C167" s="12" t="s">
        <v>28</v>
      </c>
      <c r="D167" s="13">
        <v>28</v>
      </c>
      <c r="E167" s="13">
        <f>[1]CPUs!I1198</f>
        <v>299.33749999999998</v>
      </c>
      <c r="F167" s="13">
        <v>370.07095125000001</v>
      </c>
      <c r="G167" s="13">
        <f>(F167*D167)</f>
        <v>10361.986635000001</v>
      </c>
      <c r="H167" s="13">
        <v>0</v>
      </c>
      <c r="I167" s="13">
        <v>0</v>
      </c>
      <c r="J167" s="13">
        <f t="shared" si="40"/>
        <v>0</v>
      </c>
      <c r="K167" s="13">
        <f t="shared" si="41"/>
        <v>0</v>
      </c>
      <c r="L167" s="13">
        <f t="shared" si="42"/>
        <v>0</v>
      </c>
      <c r="M167" s="107">
        <f t="shared" si="43"/>
        <v>0</v>
      </c>
      <c r="N167" s="103">
        <f t="shared" si="44"/>
        <v>0</v>
      </c>
    </row>
    <row r="168" spans="1:14" ht="24.75" hidden="1" customHeight="1" x14ac:dyDescent="0.2">
      <c r="A168" s="106" t="s">
        <v>305</v>
      </c>
      <c r="B168" s="11" t="s">
        <v>306</v>
      </c>
      <c r="C168" s="12" t="s">
        <v>28</v>
      </c>
      <c r="D168" s="13">
        <v>4</v>
      </c>
      <c r="E168" s="13">
        <f>[1]CPUs!I1207</f>
        <v>106.65</v>
      </c>
      <c r="F168" s="13">
        <v>131.85</v>
      </c>
      <c r="G168" s="13">
        <f t="shared" si="45"/>
        <v>527.4</v>
      </c>
      <c r="H168" s="13">
        <v>0</v>
      </c>
      <c r="I168" s="13">
        <v>0</v>
      </c>
      <c r="J168" s="13">
        <f t="shared" si="40"/>
        <v>0</v>
      </c>
      <c r="K168" s="13">
        <f t="shared" si="41"/>
        <v>0</v>
      </c>
      <c r="L168" s="13">
        <f t="shared" si="42"/>
        <v>0</v>
      </c>
      <c r="M168" s="107">
        <f t="shared" si="43"/>
        <v>0</v>
      </c>
      <c r="N168" s="103">
        <f t="shared" si="44"/>
        <v>0</v>
      </c>
    </row>
    <row r="169" spans="1:14" ht="24.75" hidden="1" customHeight="1" x14ac:dyDescent="0.2">
      <c r="A169" s="106" t="s">
        <v>307</v>
      </c>
      <c r="B169" s="11" t="s">
        <v>308</v>
      </c>
      <c r="C169" s="12" t="s">
        <v>28</v>
      </c>
      <c r="D169" s="13">
        <v>2</v>
      </c>
      <c r="E169" s="13">
        <f>[1]CPUs!I1216</f>
        <v>684.08</v>
      </c>
      <c r="F169" s="13">
        <v>845.72</v>
      </c>
      <c r="G169" s="13">
        <f t="shared" si="45"/>
        <v>1691.44</v>
      </c>
      <c r="H169" s="13">
        <v>0</v>
      </c>
      <c r="I169" s="13">
        <v>0</v>
      </c>
      <c r="J169" s="13">
        <f t="shared" si="40"/>
        <v>0</v>
      </c>
      <c r="K169" s="13">
        <f t="shared" si="41"/>
        <v>0</v>
      </c>
      <c r="L169" s="13">
        <f t="shared" si="42"/>
        <v>0</v>
      </c>
      <c r="M169" s="107">
        <f t="shared" si="43"/>
        <v>0</v>
      </c>
      <c r="N169" s="103">
        <f t="shared" si="44"/>
        <v>0</v>
      </c>
    </row>
    <row r="170" spans="1:14" ht="55.5" hidden="1" customHeight="1" x14ac:dyDescent="0.2">
      <c r="A170" s="106" t="s">
        <v>309</v>
      </c>
      <c r="B170" s="11" t="s">
        <v>310</v>
      </c>
      <c r="C170" s="12" t="s">
        <v>28</v>
      </c>
      <c r="D170" s="13">
        <v>3</v>
      </c>
      <c r="E170" s="13">
        <f>[1]CPUs!I1228</f>
        <v>930.93</v>
      </c>
      <c r="F170" s="13">
        <v>1150.9000000000001</v>
      </c>
      <c r="G170" s="13">
        <f t="shared" si="45"/>
        <v>3452.7000000000003</v>
      </c>
      <c r="H170" s="13">
        <v>0</v>
      </c>
      <c r="I170" s="13">
        <v>0</v>
      </c>
      <c r="J170" s="13">
        <f t="shared" si="40"/>
        <v>0</v>
      </c>
      <c r="K170" s="13">
        <f t="shared" si="41"/>
        <v>0</v>
      </c>
      <c r="L170" s="13">
        <f t="shared" si="42"/>
        <v>0</v>
      </c>
      <c r="M170" s="107">
        <f t="shared" si="43"/>
        <v>0</v>
      </c>
      <c r="N170" s="103">
        <f t="shared" si="44"/>
        <v>0</v>
      </c>
    </row>
    <row r="171" spans="1:14" ht="52.5" customHeight="1" x14ac:dyDescent="0.2">
      <c r="A171" s="106" t="s">
        <v>311</v>
      </c>
      <c r="B171" s="11" t="s">
        <v>312</v>
      </c>
      <c r="C171" s="12" t="s">
        <v>28</v>
      </c>
      <c r="D171" s="13">
        <v>91</v>
      </c>
      <c r="E171" s="13">
        <f>[1]CPUs!I1237</f>
        <v>530.13787420000006</v>
      </c>
      <c r="F171" s="13">
        <v>655.40945387346005</v>
      </c>
      <c r="G171" s="13">
        <f t="shared" si="45"/>
        <v>59642.260302484865</v>
      </c>
      <c r="H171" s="13">
        <v>16</v>
      </c>
      <c r="I171" s="13">
        <v>0</v>
      </c>
      <c r="J171" s="13">
        <f t="shared" si="40"/>
        <v>16</v>
      </c>
      <c r="K171" s="13">
        <f t="shared" si="41"/>
        <v>10486.551261975361</v>
      </c>
      <c r="L171" s="13">
        <f t="shared" si="42"/>
        <v>0</v>
      </c>
      <c r="M171" s="107">
        <f t="shared" si="43"/>
        <v>10486.551261975361</v>
      </c>
      <c r="N171" s="103">
        <f t="shared" si="44"/>
        <v>0.17582417582417581</v>
      </c>
    </row>
    <row r="172" spans="1:14" ht="24.75" customHeight="1" x14ac:dyDescent="0.2">
      <c r="A172" s="108" t="s">
        <v>313</v>
      </c>
      <c r="B172" s="16" t="s">
        <v>1503</v>
      </c>
      <c r="C172" s="16"/>
      <c r="D172" s="20"/>
      <c r="E172" s="19"/>
      <c r="F172" s="19"/>
      <c r="G172" s="20">
        <f>G173+G201+G209+G223</f>
        <v>253082.22047126194</v>
      </c>
      <c r="H172" s="20"/>
      <c r="I172" s="19"/>
      <c r="J172" s="20"/>
      <c r="K172" s="20">
        <f>K173+K201+K209+K223</f>
        <v>92097.499799999991</v>
      </c>
      <c r="L172" s="20">
        <f>L173+L201+L209+L223</f>
        <v>47374.8448536</v>
      </c>
      <c r="M172" s="109">
        <f>M173+M201+M209+M223</f>
        <v>139472.34465360001</v>
      </c>
      <c r="N172" s="102">
        <f t="shared" si="44"/>
        <v>0.55109499353170643</v>
      </c>
    </row>
    <row r="173" spans="1:14" ht="24.75" customHeight="1" x14ac:dyDescent="0.2">
      <c r="A173" s="108" t="s">
        <v>315</v>
      </c>
      <c r="B173" s="16" t="s">
        <v>316</v>
      </c>
      <c r="C173" s="16"/>
      <c r="D173" s="20"/>
      <c r="E173" s="19"/>
      <c r="F173" s="19"/>
      <c r="G173" s="20">
        <f>SUM(G174:G200)</f>
        <v>74843.753321754994</v>
      </c>
      <c r="H173" s="20"/>
      <c r="I173" s="19"/>
      <c r="J173" s="20"/>
      <c r="K173" s="20">
        <f>SUM(K174:K200)</f>
        <v>26784.949800000002</v>
      </c>
      <c r="L173" s="20">
        <f>SUM(L174:L200)</f>
        <v>0</v>
      </c>
      <c r="M173" s="109">
        <f>SUM(M174:M200)</f>
        <v>26784.949800000002</v>
      </c>
      <c r="N173" s="102">
        <f t="shared" si="44"/>
        <v>0.35787822779078027</v>
      </c>
    </row>
    <row r="174" spans="1:14" ht="24.75" hidden="1" customHeight="1" x14ac:dyDescent="0.2">
      <c r="A174" s="106" t="s">
        <v>317</v>
      </c>
      <c r="B174" s="11" t="s">
        <v>318</v>
      </c>
      <c r="C174" s="12" t="s">
        <v>28</v>
      </c>
      <c r="D174" s="13">
        <v>2</v>
      </c>
      <c r="E174" s="13">
        <f>[1]CPUs!I1246</f>
        <v>2401.1328000000003</v>
      </c>
      <c r="F174" s="13">
        <v>2968.5204806400006</v>
      </c>
      <c r="G174" s="13">
        <f>D174*F174</f>
        <v>5937.0409612800013</v>
      </c>
      <c r="H174" s="13">
        <v>0</v>
      </c>
      <c r="I174" s="13">
        <v>0</v>
      </c>
      <c r="J174" s="13">
        <f t="shared" ref="J174:J200" si="46">H174+I174</f>
        <v>0</v>
      </c>
      <c r="K174" s="13">
        <f t="shared" ref="K174:K200" si="47">H174*F174</f>
        <v>0</v>
      </c>
      <c r="L174" s="13">
        <f t="shared" ref="L174:L200" si="48">I174*F174</f>
        <v>0</v>
      </c>
      <c r="M174" s="107">
        <f t="shared" ref="M174:M200" si="49">J174*F174</f>
        <v>0</v>
      </c>
      <c r="N174" s="103">
        <f t="shared" ref="N174:N201" si="50">M174/G174</f>
        <v>0</v>
      </c>
    </row>
    <row r="175" spans="1:14" ht="24.75" hidden="1" customHeight="1" x14ac:dyDescent="0.2">
      <c r="A175" s="106" t="s">
        <v>319</v>
      </c>
      <c r="B175" s="11" t="s">
        <v>320</v>
      </c>
      <c r="C175" s="12" t="s">
        <v>28</v>
      </c>
      <c r="D175" s="13">
        <v>3</v>
      </c>
      <c r="E175" s="13">
        <f>[1]CPUs!I1259</f>
        <v>132.44999999999999</v>
      </c>
      <c r="F175" s="13">
        <v>163.74</v>
      </c>
      <c r="G175" s="13">
        <f t="shared" ref="G175:G200" si="51">D175*F175</f>
        <v>491.22</v>
      </c>
      <c r="H175" s="13">
        <v>0</v>
      </c>
      <c r="I175" s="13">
        <v>0</v>
      </c>
      <c r="J175" s="13">
        <f t="shared" si="46"/>
        <v>0</v>
      </c>
      <c r="K175" s="13">
        <f t="shared" si="47"/>
        <v>0</v>
      </c>
      <c r="L175" s="13">
        <f t="shared" si="48"/>
        <v>0</v>
      </c>
      <c r="M175" s="107">
        <f t="shared" si="49"/>
        <v>0</v>
      </c>
      <c r="N175" s="103">
        <f t="shared" si="50"/>
        <v>0</v>
      </c>
    </row>
    <row r="176" spans="1:14" ht="24.75" hidden="1" customHeight="1" x14ac:dyDescent="0.2">
      <c r="A176" s="106" t="s">
        <v>321</v>
      </c>
      <c r="B176" s="11" t="s">
        <v>322</v>
      </c>
      <c r="C176" s="12" t="s">
        <v>28</v>
      </c>
      <c r="D176" s="13">
        <v>1</v>
      </c>
      <c r="E176" s="13">
        <f>[1]CPUs!I1268</f>
        <v>108.54</v>
      </c>
      <c r="F176" s="13">
        <v>134.18</v>
      </c>
      <c r="G176" s="13">
        <f t="shared" si="51"/>
        <v>134.18</v>
      </c>
      <c r="H176" s="13">
        <v>0</v>
      </c>
      <c r="I176" s="13">
        <v>0</v>
      </c>
      <c r="J176" s="13">
        <f t="shared" si="46"/>
        <v>0</v>
      </c>
      <c r="K176" s="13">
        <f t="shared" si="47"/>
        <v>0</v>
      </c>
      <c r="L176" s="13">
        <f t="shared" si="48"/>
        <v>0</v>
      </c>
      <c r="M176" s="107">
        <f t="shared" si="49"/>
        <v>0</v>
      </c>
      <c r="N176" s="103">
        <f t="shared" si="50"/>
        <v>0</v>
      </c>
    </row>
    <row r="177" spans="1:14" ht="24.75" hidden="1" customHeight="1" x14ac:dyDescent="0.2">
      <c r="A177" s="106" t="s">
        <v>323</v>
      </c>
      <c r="B177" s="11" t="s">
        <v>324</v>
      </c>
      <c r="C177" s="12" t="s">
        <v>28</v>
      </c>
      <c r="D177" s="13">
        <v>3</v>
      </c>
      <c r="E177" s="13">
        <f>[1]CPUs!I1277</f>
        <v>182.32</v>
      </c>
      <c r="F177" s="13">
        <v>225.4</v>
      </c>
      <c r="G177" s="13">
        <f t="shared" si="51"/>
        <v>676.2</v>
      </c>
      <c r="H177" s="13">
        <v>0</v>
      </c>
      <c r="I177" s="13">
        <v>0</v>
      </c>
      <c r="J177" s="13">
        <f t="shared" si="46"/>
        <v>0</v>
      </c>
      <c r="K177" s="13">
        <f t="shared" si="47"/>
        <v>0</v>
      </c>
      <c r="L177" s="13">
        <f t="shared" si="48"/>
        <v>0</v>
      </c>
      <c r="M177" s="107">
        <f t="shared" si="49"/>
        <v>0</v>
      </c>
      <c r="N177" s="103">
        <f t="shared" si="50"/>
        <v>0</v>
      </c>
    </row>
    <row r="178" spans="1:14" ht="24.75" hidden="1" customHeight="1" x14ac:dyDescent="0.2">
      <c r="A178" s="106" t="s">
        <v>325</v>
      </c>
      <c r="B178" s="11" t="s">
        <v>326</v>
      </c>
      <c r="C178" s="12" t="s">
        <v>28</v>
      </c>
      <c r="D178" s="13">
        <v>1</v>
      </c>
      <c r="E178" s="13">
        <f>[1]CPUs!I1286</f>
        <v>84.86</v>
      </c>
      <c r="F178" s="13">
        <v>104.91</v>
      </c>
      <c r="G178" s="13">
        <f t="shared" si="51"/>
        <v>104.91</v>
      </c>
      <c r="H178" s="13">
        <v>0</v>
      </c>
      <c r="I178" s="13">
        <v>0</v>
      </c>
      <c r="J178" s="13">
        <f t="shared" si="46"/>
        <v>0</v>
      </c>
      <c r="K178" s="13">
        <f t="shared" si="47"/>
        <v>0</v>
      </c>
      <c r="L178" s="13">
        <f t="shared" si="48"/>
        <v>0</v>
      </c>
      <c r="M178" s="107">
        <f t="shared" si="49"/>
        <v>0</v>
      </c>
      <c r="N178" s="103">
        <f t="shared" si="50"/>
        <v>0</v>
      </c>
    </row>
    <row r="179" spans="1:14" ht="24.75" hidden="1" customHeight="1" x14ac:dyDescent="0.2">
      <c r="A179" s="106" t="s">
        <v>327</v>
      </c>
      <c r="B179" s="11" t="s">
        <v>328</v>
      </c>
      <c r="C179" s="12" t="s">
        <v>28</v>
      </c>
      <c r="D179" s="13">
        <v>1</v>
      </c>
      <c r="E179" s="13">
        <f>[1]CPUs!I1295</f>
        <v>127.93</v>
      </c>
      <c r="F179" s="13">
        <v>158.15</v>
      </c>
      <c r="G179" s="13">
        <f t="shared" si="51"/>
        <v>158.15</v>
      </c>
      <c r="H179" s="13">
        <v>0</v>
      </c>
      <c r="I179" s="13">
        <v>0</v>
      </c>
      <c r="J179" s="13">
        <f t="shared" si="46"/>
        <v>0</v>
      </c>
      <c r="K179" s="13">
        <f t="shared" si="47"/>
        <v>0</v>
      </c>
      <c r="L179" s="13">
        <f t="shared" si="48"/>
        <v>0</v>
      </c>
      <c r="M179" s="107">
        <f t="shared" si="49"/>
        <v>0</v>
      </c>
      <c r="N179" s="103">
        <f t="shared" si="50"/>
        <v>0</v>
      </c>
    </row>
    <row r="180" spans="1:14" ht="24.75" hidden="1" customHeight="1" x14ac:dyDescent="0.2">
      <c r="A180" s="106" t="s">
        <v>329</v>
      </c>
      <c r="B180" s="11" t="s">
        <v>330</v>
      </c>
      <c r="C180" s="12" t="s">
        <v>28</v>
      </c>
      <c r="D180" s="13">
        <v>1</v>
      </c>
      <c r="E180" s="13">
        <f>[1]CPUs!I1304</f>
        <v>7.72</v>
      </c>
      <c r="F180" s="13">
        <v>9.5399999999999991</v>
      </c>
      <c r="G180" s="13">
        <f t="shared" si="51"/>
        <v>9.5399999999999991</v>
      </c>
      <c r="H180" s="13">
        <v>0</v>
      </c>
      <c r="I180" s="13">
        <v>0</v>
      </c>
      <c r="J180" s="13">
        <f t="shared" si="46"/>
        <v>0</v>
      </c>
      <c r="K180" s="13">
        <f t="shared" si="47"/>
        <v>0</v>
      </c>
      <c r="L180" s="13">
        <f t="shared" si="48"/>
        <v>0</v>
      </c>
      <c r="M180" s="107">
        <f t="shared" si="49"/>
        <v>0</v>
      </c>
      <c r="N180" s="103">
        <f t="shared" si="50"/>
        <v>0</v>
      </c>
    </row>
    <row r="181" spans="1:14" ht="48" hidden="1" customHeight="1" x14ac:dyDescent="0.2">
      <c r="A181" s="106" t="s">
        <v>331</v>
      </c>
      <c r="B181" s="11" t="s">
        <v>332</v>
      </c>
      <c r="C181" s="12" t="s">
        <v>28</v>
      </c>
      <c r="D181" s="13">
        <v>2</v>
      </c>
      <c r="E181" s="13">
        <f>[1]CPUs!I1315</f>
        <v>6.77</v>
      </c>
      <c r="F181" s="13">
        <v>8.36</v>
      </c>
      <c r="G181" s="13">
        <f t="shared" si="51"/>
        <v>16.72</v>
      </c>
      <c r="H181" s="13">
        <v>0</v>
      </c>
      <c r="I181" s="13">
        <v>0</v>
      </c>
      <c r="J181" s="13">
        <f t="shared" si="46"/>
        <v>0</v>
      </c>
      <c r="K181" s="13">
        <f t="shared" si="47"/>
        <v>0</v>
      </c>
      <c r="L181" s="13">
        <f t="shared" si="48"/>
        <v>0</v>
      </c>
      <c r="M181" s="107">
        <f t="shared" si="49"/>
        <v>0</v>
      </c>
      <c r="N181" s="103">
        <f t="shared" si="50"/>
        <v>0</v>
      </c>
    </row>
    <row r="182" spans="1:14" ht="45" hidden="1" customHeight="1" x14ac:dyDescent="0.2">
      <c r="A182" s="106" t="s">
        <v>333</v>
      </c>
      <c r="B182" s="11" t="s">
        <v>334</v>
      </c>
      <c r="C182" s="12" t="s">
        <v>46</v>
      </c>
      <c r="D182" s="13">
        <v>33.619999999999997</v>
      </c>
      <c r="E182" s="13">
        <f>[1]CPUs!I1326</f>
        <v>39.07</v>
      </c>
      <c r="F182" s="13">
        <v>48.3</v>
      </c>
      <c r="G182" s="13">
        <f>(F182*D182)</f>
        <v>1623.8459999999998</v>
      </c>
      <c r="H182" s="13">
        <v>0</v>
      </c>
      <c r="I182" s="13">
        <v>0</v>
      </c>
      <c r="J182" s="13">
        <f t="shared" si="46"/>
        <v>0</v>
      </c>
      <c r="K182" s="13">
        <f t="shared" si="47"/>
        <v>0</v>
      </c>
      <c r="L182" s="13">
        <f t="shared" si="48"/>
        <v>0</v>
      </c>
      <c r="M182" s="107">
        <f t="shared" si="49"/>
        <v>0</v>
      </c>
      <c r="N182" s="103">
        <f t="shared" si="50"/>
        <v>0</v>
      </c>
    </row>
    <row r="183" spans="1:14" ht="48" hidden="1" customHeight="1" x14ac:dyDescent="0.2">
      <c r="A183" s="106" t="s">
        <v>335</v>
      </c>
      <c r="B183" s="11" t="s">
        <v>336</v>
      </c>
      <c r="C183" s="12" t="s">
        <v>46</v>
      </c>
      <c r="D183" s="13">
        <v>4.38</v>
      </c>
      <c r="E183" s="13">
        <f>[1]CPUs!I1335</f>
        <v>40.380000000000003</v>
      </c>
      <c r="F183" s="13">
        <v>49.92</v>
      </c>
      <c r="G183" s="13">
        <f>(F183*D183)</f>
        <v>218.64959999999999</v>
      </c>
      <c r="H183" s="13">
        <v>0</v>
      </c>
      <c r="I183" s="13">
        <v>0</v>
      </c>
      <c r="J183" s="13">
        <f t="shared" si="46"/>
        <v>0</v>
      </c>
      <c r="K183" s="13">
        <f t="shared" si="47"/>
        <v>0</v>
      </c>
      <c r="L183" s="13">
        <f t="shared" si="48"/>
        <v>0</v>
      </c>
      <c r="M183" s="107">
        <f t="shared" si="49"/>
        <v>0</v>
      </c>
      <c r="N183" s="103">
        <f t="shared" si="50"/>
        <v>0</v>
      </c>
    </row>
    <row r="184" spans="1:14" ht="48.75" hidden="1" customHeight="1" x14ac:dyDescent="0.2">
      <c r="A184" s="106" t="s">
        <v>337</v>
      </c>
      <c r="B184" s="11" t="s">
        <v>338</v>
      </c>
      <c r="C184" s="12" t="s">
        <v>46</v>
      </c>
      <c r="D184" s="13">
        <v>5.51</v>
      </c>
      <c r="E184" s="13">
        <f>[1]CPUs!I1351</f>
        <v>33.479999999999997</v>
      </c>
      <c r="F184" s="13">
        <v>41.39</v>
      </c>
      <c r="G184" s="13">
        <f>(F184*D184)</f>
        <v>228.05889999999999</v>
      </c>
      <c r="H184" s="13">
        <v>0</v>
      </c>
      <c r="I184" s="13">
        <v>0</v>
      </c>
      <c r="J184" s="13">
        <f t="shared" si="46"/>
        <v>0</v>
      </c>
      <c r="K184" s="13">
        <f t="shared" si="47"/>
        <v>0</v>
      </c>
      <c r="L184" s="13">
        <f t="shared" si="48"/>
        <v>0</v>
      </c>
      <c r="M184" s="107">
        <f t="shared" si="49"/>
        <v>0</v>
      </c>
      <c r="N184" s="103">
        <f t="shared" si="50"/>
        <v>0</v>
      </c>
    </row>
    <row r="185" spans="1:14" ht="66.75" hidden="1" customHeight="1" x14ac:dyDescent="0.2">
      <c r="A185" s="106" t="s">
        <v>339</v>
      </c>
      <c r="B185" s="11" t="s">
        <v>340</v>
      </c>
      <c r="C185" s="12" t="s">
        <v>46</v>
      </c>
      <c r="D185" s="13">
        <v>10.09</v>
      </c>
      <c r="E185" s="13">
        <f>[1]CPUs!I1369</f>
        <v>28.46</v>
      </c>
      <c r="F185" s="13">
        <v>35.18</v>
      </c>
      <c r="G185" s="13">
        <f>(F185*D185)</f>
        <v>354.96620000000001</v>
      </c>
      <c r="H185" s="13">
        <v>0</v>
      </c>
      <c r="I185" s="13">
        <v>0</v>
      </c>
      <c r="J185" s="13">
        <f t="shared" si="46"/>
        <v>0</v>
      </c>
      <c r="K185" s="13">
        <f t="shared" si="47"/>
        <v>0</v>
      </c>
      <c r="L185" s="13">
        <f t="shared" si="48"/>
        <v>0</v>
      </c>
      <c r="M185" s="107">
        <f t="shared" si="49"/>
        <v>0</v>
      </c>
      <c r="N185" s="103">
        <f t="shared" si="50"/>
        <v>0</v>
      </c>
    </row>
    <row r="186" spans="1:14" ht="65.25" hidden="1" customHeight="1" x14ac:dyDescent="0.2">
      <c r="A186" s="106" t="s">
        <v>341</v>
      </c>
      <c r="B186" s="11" t="s">
        <v>342</v>
      </c>
      <c r="C186" s="12" t="s">
        <v>46</v>
      </c>
      <c r="D186" s="13">
        <v>159.06</v>
      </c>
      <c r="E186" s="13">
        <f>[1]CPUs!I1398</f>
        <v>37.83</v>
      </c>
      <c r="F186" s="13">
        <v>46.76</v>
      </c>
      <c r="G186" s="13">
        <f>(F186*D186)</f>
        <v>7437.6455999999998</v>
      </c>
      <c r="H186" s="13">
        <v>0</v>
      </c>
      <c r="I186" s="13">
        <v>0</v>
      </c>
      <c r="J186" s="13">
        <f t="shared" si="46"/>
        <v>0</v>
      </c>
      <c r="K186" s="13">
        <f t="shared" si="47"/>
        <v>0</v>
      </c>
      <c r="L186" s="13">
        <f t="shared" si="48"/>
        <v>0</v>
      </c>
      <c r="M186" s="107">
        <f t="shared" si="49"/>
        <v>0</v>
      </c>
      <c r="N186" s="103">
        <f t="shared" si="50"/>
        <v>0</v>
      </c>
    </row>
    <row r="187" spans="1:14" ht="68.25" hidden="1" customHeight="1" x14ac:dyDescent="0.2">
      <c r="A187" s="106" t="s">
        <v>343</v>
      </c>
      <c r="B187" s="11" t="s">
        <v>344</v>
      </c>
      <c r="C187" s="12" t="s">
        <v>46</v>
      </c>
      <c r="D187" s="13">
        <v>3.56</v>
      </c>
      <c r="E187" s="13">
        <f>[1]CPUs!I1428</f>
        <v>84.97</v>
      </c>
      <c r="F187" s="13">
        <v>105.04</v>
      </c>
      <c r="G187" s="13">
        <f t="shared" si="51"/>
        <v>373.94240000000002</v>
      </c>
      <c r="H187" s="13">
        <v>0</v>
      </c>
      <c r="I187" s="13">
        <v>0</v>
      </c>
      <c r="J187" s="13">
        <f t="shared" si="46"/>
        <v>0</v>
      </c>
      <c r="K187" s="13">
        <f t="shared" si="47"/>
        <v>0</v>
      </c>
      <c r="L187" s="13">
        <f t="shared" si="48"/>
        <v>0</v>
      </c>
      <c r="M187" s="107">
        <f t="shared" si="49"/>
        <v>0</v>
      </c>
      <c r="N187" s="103">
        <f t="shared" si="50"/>
        <v>0</v>
      </c>
    </row>
    <row r="188" spans="1:14" ht="61.5" hidden="1" customHeight="1" x14ac:dyDescent="0.2">
      <c r="A188" s="106" t="s">
        <v>345</v>
      </c>
      <c r="B188" s="11" t="s">
        <v>346</v>
      </c>
      <c r="C188" s="12" t="s">
        <v>46</v>
      </c>
      <c r="D188" s="13">
        <v>6.42</v>
      </c>
      <c r="E188" s="13">
        <f>[1]CPUs!I1445</f>
        <v>53.02</v>
      </c>
      <c r="F188" s="13">
        <v>65.540000000000006</v>
      </c>
      <c r="G188" s="13">
        <f>(F188*D188)</f>
        <v>420.76680000000005</v>
      </c>
      <c r="H188" s="13">
        <v>0</v>
      </c>
      <c r="I188" s="13">
        <v>0</v>
      </c>
      <c r="J188" s="13">
        <f t="shared" si="46"/>
        <v>0</v>
      </c>
      <c r="K188" s="13">
        <f t="shared" si="47"/>
        <v>0</v>
      </c>
      <c r="L188" s="13">
        <f t="shared" si="48"/>
        <v>0</v>
      </c>
      <c r="M188" s="107">
        <f t="shared" si="49"/>
        <v>0</v>
      </c>
      <c r="N188" s="103">
        <f t="shared" si="50"/>
        <v>0</v>
      </c>
    </row>
    <row r="189" spans="1:14" ht="61.5" customHeight="1" x14ac:dyDescent="0.2">
      <c r="A189" s="106" t="s">
        <v>347</v>
      </c>
      <c r="B189" s="11" t="s">
        <v>348</v>
      </c>
      <c r="C189" s="12" t="s">
        <v>46</v>
      </c>
      <c r="D189" s="13">
        <v>398.23</v>
      </c>
      <c r="E189" s="13">
        <f>[1]CPUs!I1461</f>
        <v>54.41</v>
      </c>
      <c r="F189" s="13">
        <v>67.260000000000005</v>
      </c>
      <c r="G189" s="13">
        <f>(F189*D189)</f>
        <v>26784.949800000002</v>
      </c>
      <c r="H189" s="13">
        <v>398.23</v>
      </c>
      <c r="I189" s="13">
        <v>0</v>
      </c>
      <c r="J189" s="13">
        <f t="shared" si="46"/>
        <v>398.23</v>
      </c>
      <c r="K189" s="13">
        <f t="shared" si="47"/>
        <v>26784.949800000002</v>
      </c>
      <c r="L189" s="13">
        <f t="shared" si="48"/>
        <v>0</v>
      </c>
      <c r="M189" s="107">
        <f t="shared" si="49"/>
        <v>26784.949800000002</v>
      </c>
      <c r="N189" s="103">
        <f t="shared" si="50"/>
        <v>1</v>
      </c>
    </row>
    <row r="190" spans="1:14" ht="61.5" hidden="1" customHeight="1" x14ac:dyDescent="0.2">
      <c r="A190" s="106" t="s">
        <v>349</v>
      </c>
      <c r="B190" s="11" t="s">
        <v>350</v>
      </c>
      <c r="C190" s="12" t="s">
        <v>46</v>
      </c>
      <c r="D190" s="13">
        <v>113.28</v>
      </c>
      <c r="E190" s="13">
        <f>[1]CPUs!I1483</f>
        <v>47.82</v>
      </c>
      <c r="F190" s="13">
        <v>59.11</v>
      </c>
      <c r="G190" s="13">
        <f t="shared" si="51"/>
        <v>6695.9808000000003</v>
      </c>
      <c r="H190" s="13">
        <v>0</v>
      </c>
      <c r="I190" s="13">
        <v>0</v>
      </c>
      <c r="J190" s="13">
        <f t="shared" si="46"/>
        <v>0</v>
      </c>
      <c r="K190" s="13">
        <f t="shared" si="47"/>
        <v>0</v>
      </c>
      <c r="L190" s="13">
        <f t="shared" si="48"/>
        <v>0</v>
      </c>
      <c r="M190" s="107">
        <f t="shared" si="49"/>
        <v>0</v>
      </c>
      <c r="N190" s="103">
        <f t="shared" si="50"/>
        <v>0</v>
      </c>
    </row>
    <row r="191" spans="1:14" ht="24.75" hidden="1" customHeight="1" x14ac:dyDescent="0.2">
      <c r="A191" s="106" t="s">
        <v>351</v>
      </c>
      <c r="B191" s="11" t="s">
        <v>352</v>
      </c>
      <c r="C191" s="12" t="s">
        <v>28</v>
      </c>
      <c r="D191" s="13">
        <v>2</v>
      </c>
      <c r="E191" s="13">
        <f>[1]CPUs!I1503</f>
        <v>823.04</v>
      </c>
      <c r="F191" s="13">
        <v>1017.52</v>
      </c>
      <c r="G191" s="13">
        <f t="shared" si="51"/>
        <v>2035.04</v>
      </c>
      <c r="H191" s="13">
        <v>0</v>
      </c>
      <c r="I191" s="13">
        <v>0</v>
      </c>
      <c r="J191" s="13">
        <f t="shared" si="46"/>
        <v>0</v>
      </c>
      <c r="K191" s="13">
        <f t="shared" si="47"/>
        <v>0</v>
      </c>
      <c r="L191" s="13">
        <f t="shared" si="48"/>
        <v>0</v>
      </c>
      <c r="M191" s="107">
        <f t="shared" si="49"/>
        <v>0</v>
      </c>
      <c r="N191" s="103">
        <f t="shared" si="50"/>
        <v>0</v>
      </c>
    </row>
    <row r="192" spans="1:14" ht="24.75" hidden="1" customHeight="1" x14ac:dyDescent="0.2">
      <c r="A192" s="106" t="s">
        <v>353</v>
      </c>
      <c r="B192" s="11" t="s">
        <v>354</v>
      </c>
      <c r="C192" s="12" t="s">
        <v>28</v>
      </c>
      <c r="D192" s="13">
        <v>5</v>
      </c>
      <c r="E192" s="13">
        <f>[1]CPUs!I1523</f>
        <v>469.57</v>
      </c>
      <c r="F192" s="13">
        <v>580.52</v>
      </c>
      <c r="G192" s="13">
        <f t="shared" si="51"/>
        <v>2902.6</v>
      </c>
      <c r="H192" s="13">
        <v>0</v>
      </c>
      <c r="I192" s="13">
        <v>0</v>
      </c>
      <c r="J192" s="13">
        <f t="shared" si="46"/>
        <v>0</v>
      </c>
      <c r="K192" s="13">
        <f t="shared" si="47"/>
        <v>0</v>
      </c>
      <c r="L192" s="13">
        <f t="shared" si="48"/>
        <v>0</v>
      </c>
      <c r="M192" s="107">
        <f t="shared" si="49"/>
        <v>0</v>
      </c>
      <c r="N192" s="103">
        <f t="shared" si="50"/>
        <v>0</v>
      </c>
    </row>
    <row r="193" spans="1:14" ht="24.75" hidden="1" customHeight="1" x14ac:dyDescent="0.2">
      <c r="A193" s="106" t="s">
        <v>355</v>
      </c>
      <c r="B193" s="11" t="s">
        <v>356</v>
      </c>
      <c r="C193" s="12" t="s">
        <v>28</v>
      </c>
      <c r="D193" s="13">
        <v>2</v>
      </c>
      <c r="E193" s="13">
        <f>[1]CPUs!I1543</f>
        <v>686.17</v>
      </c>
      <c r="F193" s="13">
        <v>848.31</v>
      </c>
      <c r="G193" s="13">
        <f t="shared" si="51"/>
        <v>1696.62</v>
      </c>
      <c r="H193" s="13">
        <v>0</v>
      </c>
      <c r="I193" s="13">
        <v>0</v>
      </c>
      <c r="J193" s="13">
        <f t="shared" si="46"/>
        <v>0</v>
      </c>
      <c r="K193" s="13">
        <f t="shared" si="47"/>
        <v>0</v>
      </c>
      <c r="L193" s="13">
        <f t="shared" si="48"/>
        <v>0</v>
      </c>
      <c r="M193" s="107">
        <f t="shared" si="49"/>
        <v>0</v>
      </c>
      <c r="N193" s="103">
        <f t="shared" si="50"/>
        <v>0</v>
      </c>
    </row>
    <row r="194" spans="1:14" ht="24.75" hidden="1" customHeight="1" x14ac:dyDescent="0.2">
      <c r="A194" s="106" t="s">
        <v>357</v>
      </c>
      <c r="B194" s="11" t="s">
        <v>358</v>
      </c>
      <c r="C194" s="12" t="s">
        <v>28</v>
      </c>
      <c r="D194" s="13">
        <v>2</v>
      </c>
      <c r="E194" s="13">
        <f>[1]CPUs!I1563</f>
        <v>40.21</v>
      </c>
      <c r="F194" s="13">
        <v>49.71</v>
      </c>
      <c r="G194" s="13">
        <f t="shared" si="51"/>
        <v>99.42</v>
      </c>
      <c r="H194" s="13">
        <v>0</v>
      </c>
      <c r="I194" s="13">
        <v>0</v>
      </c>
      <c r="J194" s="13">
        <f t="shared" si="46"/>
        <v>0</v>
      </c>
      <c r="K194" s="13">
        <f t="shared" si="47"/>
        <v>0</v>
      </c>
      <c r="L194" s="13">
        <f t="shared" si="48"/>
        <v>0</v>
      </c>
      <c r="M194" s="107">
        <f t="shared" si="49"/>
        <v>0</v>
      </c>
      <c r="N194" s="103">
        <f t="shared" si="50"/>
        <v>0</v>
      </c>
    </row>
    <row r="195" spans="1:14" ht="24.75" hidden="1" customHeight="1" x14ac:dyDescent="0.2">
      <c r="A195" s="106" t="s">
        <v>359</v>
      </c>
      <c r="B195" s="11" t="s">
        <v>360</v>
      </c>
      <c r="C195" s="12" t="s">
        <v>28</v>
      </c>
      <c r="D195" s="13">
        <v>16</v>
      </c>
      <c r="E195" s="13">
        <f>[1]CPUs!I1574</f>
        <v>85.92</v>
      </c>
      <c r="F195" s="13">
        <v>106.22</v>
      </c>
      <c r="G195" s="13">
        <f t="shared" si="51"/>
        <v>1699.52</v>
      </c>
      <c r="H195" s="13">
        <v>0</v>
      </c>
      <c r="I195" s="13">
        <v>0</v>
      </c>
      <c r="J195" s="13">
        <f t="shared" si="46"/>
        <v>0</v>
      </c>
      <c r="K195" s="13">
        <f t="shared" si="47"/>
        <v>0</v>
      </c>
      <c r="L195" s="13">
        <f t="shared" si="48"/>
        <v>0</v>
      </c>
      <c r="M195" s="107">
        <f t="shared" si="49"/>
        <v>0</v>
      </c>
      <c r="N195" s="103">
        <f t="shared" si="50"/>
        <v>0</v>
      </c>
    </row>
    <row r="196" spans="1:14" ht="24.75" hidden="1" customHeight="1" x14ac:dyDescent="0.2">
      <c r="A196" s="106" t="s">
        <v>361</v>
      </c>
      <c r="B196" s="11" t="s">
        <v>362</v>
      </c>
      <c r="C196" s="12" t="s">
        <v>28</v>
      </c>
      <c r="D196" s="13">
        <v>2</v>
      </c>
      <c r="E196" s="13">
        <f>[1]CPUs!I1587</f>
        <v>2116.0211249999998</v>
      </c>
      <c r="F196" s="13">
        <v>2616.0369168374996</v>
      </c>
      <c r="G196" s="13">
        <f t="shared" si="51"/>
        <v>5232.0738336749992</v>
      </c>
      <c r="H196" s="13">
        <v>0</v>
      </c>
      <c r="I196" s="13">
        <v>0</v>
      </c>
      <c r="J196" s="13">
        <f t="shared" si="46"/>
        <v>0</v>
      </c>
      <c r="K196" s="13">
        <f t="shared" si="47"/>
        <v>0</v>
      </c>
      <c r="L196" s="13">
        <f t="shared" si="48"/>
        <v>0</v>
      </c>
      <c r="M196" s="107">
        <f t="shared" si="49"/>
        <v>0</v>
      </c>
      <c r="N196" s="103">
        <f t="shared" si="50"/>
        <v>0</v>
      </c>
    </row>
    <row r="197" spans="1:14" ht="24.75" hidden="1" customHeight="1" x14ac:dyDescent="0.2">
      <c r="A197" s="106" t="s">
        <v>363</v>
      </c>
      <c r="B197" s="11" t="s">
        <v>364</v>
      </c>
      <c r="C197" s="12" t="s">
        <v>28</v>
      </c>
      <c r="D197" s="13">
        <v>5</v>
      </c>
      <c r="E197" s="13">
        <f>[1]CPUs!I1614</f>
        <v>10.09</v>
      </c>
      <c r="F197" s="13">
        <v>12.47</v>
      </c>
      <c r="G197" s="13">
        <f t="shared" si="51"/>
        <v>62.35</v>
      </c>
      <c r="H197" s="13">
        <v>0</v>
      </c>
      <c r="I197" s="13">
        <v>0</v>
      </c>
      <c r="J197" s="13">
        <f t="shared" si="46"/>
        <v>0</v>
      </c>
      <c r="K197" s="13">
        <f t="shared" si="47"/>
        <v>0</v>
      </c>
      <c r="L197" s="13">
        <f t="shared" si="48"/>
        <v>0</v>
      </c>
      <c r="M197" s="107">
        <f t="shared" si="49"/>
        <v>0</v>
      </c>
      <c r="N197" s="103">
        <f t="shared" si="50"/>
        <v>0</v>
      </c>
    </row>
    <row r="198" spans="1:14" ht="24.75" hidden="1" customHeight="1" x14ac:dyDescent="0.2">
      <c r="A198" s="106" t="s">
        <v>365</v>
      </c>
      <c r="B198" s="11" t="s">
        <v>366</v>
      </c>
      <c r="C198" s="12" t="s">
        <v>28</v>
      </c>
      <c r="D198" s="13">
        <v>12</v>
      </c>
      <c r="E198" s="13">
        <f>[1]CPUs!I1623</f>
        <v>88.79</v>
      </c>
      <c r="F198" s="13">
        <v>109.77</v>
      </c>
      <c r="G198" s="13">
        <f t="shared" si="51"/>
        <v>1317.24</v>
      </c>
      <c r="H198" s="13">
        <v>0</v>
      </c>
      <c r="I198" s="13">
        <v>0</v>
      </c>
      <c r="J198" s="13">
        <f t="shared" si="46"/>
        <v>0</v>
      </c>
      <c r="K198" s="13">
        <f t="shared" si="47"/>
        <v>0</v>
      </c>
      <c r="L198" s="13">
        <f t="shared" si="48"/>
        <v>0</v>
      </c>
      <c r="M198" s="107">
        <f t="shared" si="49"/>
        <v>0</v>
      </c>
      <c r="N198" s="103">
        <f t="shared" si="50"/>
        <v>0</v>
      </c>
    </row>
    <row r="199" spans="1:14" ht="24.75" hidden="1" customHeight="1" x14ac:dyDescent="0.2">
      <c r="A199" s="106" t="s">
        <v>367</v>
      </c>
      <c r="B199" s="11" t="s">
        <v>368</v>
      </c>
      <c r="C199" s="12" t="s">
        <v>28</v>
      </c>
      <c r="D199" s="13">
        <v>2</v>
      </c>
      <c r="E199" s="13">
        <f>[1]CPUs!I1632</f>
        <v>129.68</v>
      </c>
      <c r="F199" s="13">
        <v>160.32</v>
      </c>
      <c r="G199" s="13">
        <f t="shared" si="51"/>
        <v>320.64</v>
      </c>
      <c r="H199" s="13">
        <v>0</v>
      </c>
      <c r="I199" s="13">
        <v>0</v>
      </c>
      <c r="J199" s="13">
        <f t="shared" si="46"/>
        <v>0</v>
      </c>
      <c r="K199" s="13">
        <f t="shared" si="47"/>
        <v>0</v>
      </c>
      <c r="L199" s="13">
        <f t="shared" si="48"/>
        <v>0</v>
      </c>
      <c r="M199" s="107">
        <f t="shared" si="49"/>
        <v>0</v>
      </c>
      <c r="N199" s="103">
        <f t="shared" si="50"/>
        <v>0</v>
      </c>
    </row>
    <row r="200" spans="1:14" ht="24.75" hidden="1" customHeight="1" x14ac:dyDescent="0.2">
      <c r="A200" s="106" t="s">
        <v>369</v>
      </c>
      <c r="B200" s="11" t="s">
        <v>370</v>
      </c>
      <c r="C200" s="12" t="s">
        <v>28</v>
      </c>
      <c r="D200" s="13">
        <v>1</v>
      </c>
      <c r="E200" s="13">
        <f>[1]CPUs!I1641</f>
        <v>6318.4359999999988</v>
      </c>
      <c r="F200" s="13">
        <v>7811.4824267999984</v>
      </c>
      <c r="G200" s="13">
        <f t="shared" si="51"/>
        <v>7811.4824267999984</v>
      </c>
      <c r="H200" s="13">
        <v>0</v>
      </c>
      <c r="I200" s="13">
        <v>0</v>
      </c>
      <c r="J200" s="13">
        <f t="shared" si="46"/>
        <v>0</v>
      </c>
      <c r="K200" s="13">
        <f t="shared" si="47"/>
        <v>0</v>
      </c>
      <c r="L200" s="13">
        <f t="shared" si="48"/>
        <v>0</v>
      </c>
      <c r="M200" s="107">
        <f t="shared" si="49"/>
        <v>0</v>
      </c>
      <c r="N200" s="103">
        <f t="shared" si="50"/>
        <v>0</v>
      </c>
    </row>
    <row r="201" spans="1:14" ht="24.75" customHeight="1" x14ac:dyDescent="0.2">
      <c r="A201" s="108" t="s">
        <v>371</v>
      </c>
      <c r="B201" s="16" t="s">
        <v>372</v>
      </c>
      <c r="C201" s="16"/>
      <c r="D201" s="20"/>
      <c r="E201" s="19"/>
      <c r="F201" s="19"/>
      <c r="G201" s="20">
        <f>SUM(G202:G208)</f>
        <v>61245.231991399996</v>
      </c>
      <c r="H201" s="20"/>
      <c r="I201" s="19"/>
      <c r="J201" s="20"/>
      <c r="K201" s="20">
        <f>SUM(K202:K208)</f>
        <v>15776.25</v>
      </c>
      <c r="L201" s="20">
        <f>SUM(L202:L208)</f>
        <v>21908.884853599997</v>
      </c>
      <c r="M201" s="109">
        <f>SUM(M202:M208)</f>
        <v>37685.134853599993</v>
      </c>
      <c r="N201" s="102">
        <f t="shared" si="50"/>
        <v>0.61531540706534849</v>
      </c>
    </row>
    <row r="202" spans="1:14" ht="56.25" hidden="1" customHeight="1" x14ac:dyDescent="0.2">
      <c r="A202" s="106" t="s">
        <v>373</v>
      </c>
      <c r="B202" s="11" t="s">
        <v>374</v>
      </c>
      <c r="C202" s="12" t="s">
        <v>28</v>
      </c>
      <c r="D202" s="13">
        <v>1</v>
      </c>
      <c r="E202" s="13">
        <f>[1]CPUs!I1649</f>
        <v>132.38999999999999</v>
      </c>
      <c r="F202" s="13">
        <v>163.66999999999999</v>
      </c>
      <c r="G202" s="13">
        <f>D202*F202</f>
        <v>163.66999999999999</v>
      </c>
      <c r="H202" s="13">
        <v>0</v>
      </c>
      <c r="I202" s="13">
        <v>0</v>
      </c>
      <c r="J202" s="13">
        <f t="shared" ref="J202:J208" si="52">H202+I202</f>
        <v>0</v>
      </c>
      <c r="K202" s="13">
        <f t="shared" ref="K202:K208" si="53">H202*F202</f>
        <v>0</v>
      </c>
      <c r="L202" s="13">
        <f t="shared" ref="L202:L208" si="54">I202*F202</f>
        <v>0</v>
      </c>
      <c r="M202" s="107">
        <f t="shared" ref="M202:M208" si="55">J202*F202</f>
        <v>0</v>
      </c>
      <c r="N202" s="103">
        <f t="shared" ref="N202:N209" si="56">M202/G202</f>
        <v>0</v>
      </c>
    </row>
    <row r="203" spans="1:14" ht="42" customHeight="1" x14ac:dyDescent="0.2">
      <c r="A203" s="106" t="s">
        <v>375</v>
      </c>
      <c r="B203" s="11" t="s">
        <v>376</v>
      </c>
      <c r="C203" s="12" t="s">
        <v>28</v>
      </c>
      <c r="D203" s="13">
        <v>105</v>
      </c>
      <c r="E203" s="13">
        <f>[1]CPUs!I1662</f>
        <v>121.54</v>
      </c>
      <c r="F203" s="13">
        <v>150.25</v>
      </c>
      <c r="G203" s="13">
        <f t="shared" ref="G203:G208" si="57">D203*F203</f>
        <v>15776.25</v>
      </c>
      <c r="H203" s="13">
        <v>105</v>
      </c>
      <c r="I203" s="13">
        <v>0</v>
      </c>
      <c r="J203" s="13">
        <f t="shared" si="52"/>
        <v>105</v>
      </c>
      <c r="K203" s="13">
        <f t="shared" si="53"/>
        <v>15776.25</v>
      </c>
      <c r="L203" s="13">
        <f t="shared" si="54"/>
        <v>0</v>
      </c>
      <c r="M203" s="107">
        <f t="shared" si="55"/>
        <v>15776.25</v>
      </c>
      <c r="N203" s="103">
        <f t="shared" si="56"/>
        <v>1</v>
      </c>
    </row>
    <row r="204" spans="1:14" ht="51" hidden="1" x14ac:dyDescent="0.2">
      <c r="A204" s="106" t="s">
        <v>377</v>
      </c>
      <c r="B204" s="11" t="s">
        <v>340</v>
      </c>
      <c r="C204" s="12" t="s">
        <v>46</v>
      </c>
      <c r="D204" s="13">
        <v>66.720190000000002</v>
      </c>
      <c r="E204" s="13">
        <f>[1]CPUs!I1672</f>
        <v>28.46</v>
      </c>
      <c r="F204" s="13">
        <v>35.18</v>
      </c>
      <c r="G204" s="13">
        <f>(F204*D204)</f>
        <v>2347.2162842000002</v>
      </c>
      <c r="H204" s="13">
        <v>0</v>
      </c>
      <c r="I204" s="13">
        <v>0</v>
      </c>
      <c r="J204" s="13">
        <f t="shared" si="52"/>
        <v>0</v>
      </c>
      <c r="K204" s="13">
        <f t="shared" si="53"/>
        <v>0</v>
      </c>
      <c r="L204" s="13">
        <f t="shared" si="54"/>
        <v>0</v>
      </c>
      <c r="M204" s="107">
        <f t="shared" si="55"/>
        <v>0</v>
      </c>
      <c r="N204" s="103">
        <f t="shared" si="56"/>
        <v>0</v>
      </c>
    </row>
    <row r="205" spans="1:14" ht="47.25" hidden="1" customHeight="1" x14ac:dyDescent="0.2">
      <c r="A205" s="106" t="s">
        <v>378</v>
      </c>
      <c r="B205" s="11" t="s">
        <v>336</v>
      </c>
      <c r="C205" s="12" t="s">
        <v>46</v>
      </c>
      <c r="D205" s="13">
        <v>9.4499999999999993</v>
      </c>
      <c r="E205" s="13">
        <f>[1]CPUs!I1701</f>
        <v>40.380000000000003</v>
      </c>
      <c r="F205" s="13">
        <v>49.92</v>
      </c>
      <c r="G205" s="13">
        <f t="shared" si="57"/>
        <v>471.74399999999997</v>
      </c>
      <c r="H205" s="13">
        <v>0</v>
      </c>
      <c r="I205" s="13">
        <v>0</v>
      </c>
      <c r="J205" s="13">
        <f t="shared" si="52"/>
        <v>0</v>
      </c>
      <c r="K205" s="13">
        <f t="shared" si="53"/>
        <v>0</v>
      </c>
      <c r="L205" s="13">
        <f t="shared" si="54"/>
        <v>0</v>
      </c>
      <c r="M205" s="107">
        <f t="shared" si="55"/>
        <v>0</v>
      </c>
      <c r="N205" s="103">
        <f t="shared" si="56"/>
        <v>0</v>
      </c>
    </row>
    <row r="206" spans="1:14" ht="40.5" hidden="1" customHeight="1" x14ac:dyDescent="0.2">
      <c r="A206" s="106" t="s">
        <v>379</v>
      </c>
      <c r="B206" s="11" t="s">
        <v>338</v>
      </c>
      <c r="C206" s="12" t="s">
        <v>46</v>
      </c>
      <c r="D206" s="13">
        <v>5.8</v>
      </c>
      <c r="E206" s="13">
        <f>[1]CPUs!I1717</f>
        <v>33.479999999999997</v>
      </c>
      <c r="F206" s="13">
        <v>41.39</v>
      </c>
      <c r="G206" s="13">
        <f t="shared" si="57"/>
        <v>240.06199999999998</v>
      </c>
      <c r="H206" s="13">
        <v>0</v>
      </c>
      <c r="I206" s="13">
        <v>0</v>
      </c>
      <c r="J206" s="13">
        <f t="shared" si="52"/>
        <v>0</v>
      </c>
      <c r="K206" s="13">
        <f t="shared" si="53"/>
        <v>0</v>
      </c>
      <c r="L206" s="13">
        <f t="shared" si="54"/>
        <v>0</v>
      </c>
      <c r="M206" s="107">
        <f t="shared" si="55"/>
        <v>0</v>
      </c>
      <c r="N206" s="103">
        <f t="shared" si="56"/>
        <v>0</v>
      </c>
    </row>
    <row r="207" spans="1:14" ht="24.75" customHeight="1" x14ac:dyDescent="0.2">
      <c r="A207" s="106" t="s">
        <v>380</v>
      </c>
      <c r="B207" s="11" t="s">
        <v>370</v>
      </c>
      <c r="C207" s="12" t="s">
        <v>28</v>
      </c>
      <c r="D207" s="13">
        <v>4</v>
      </c>
      <c r="E207" s="13">
        <f>[1]CPUs!I1735</f>
        <v>6318.4359999999988</v>
      </c>
      <c r="F207" s="13">
        <v>7811.4824267999984</v>
      </c>
      <c r="G207" s="13">
        <f>(F207*D207)</f>
        <v>31245.929707199994</v>
      </c>
      <c r="H207" s="13">
        <v>0</v>
      </c>
      <c r="I207" s="13">
        <v>2</v>
      </c>
      <c r="J207" s="13">
        <f t="shared" si="52"/>
        <v>2</v>
      </c>
      <c r="K207" s="13">
        <f t="shared" si="53"/>
        <v>0</v>
      </c>
      <c r="L207" s="13">
        <f t="shared" si="54"/>
        <v>15622.964853599997</v>
      </c>
      <c r="M207" s="107">
        <f t="shared" si="55"/>
        <v>15622.964853599997</v>
      </c>
      <c r="N207" s="103">
        <f t="shared" si="56"/>
        <v>0.5</v>
      </c>
    </row>
    <row r="208" spans="1:14" ht="24.75" customHeight="1" x14ac:dyDescent="0.2">
      <c r="A208" s="106" t="s">
        <v>381</v>
      </c>
      <c r="B208" s="11" t="s">
        <v>382</v>
      </c>
      <c r="C208" s="12" t="s">
        <v>28</v>
      </c>
      <c r="D208" s="13">
        <v>7</v>
      </c>
      <c r="E208" s="13">
        <f>[1]CPUs!I1743</f>
        <v>1271.1199999999999</v>
      </c>
      <c r="F208" s="13">
        <v>1571.48</v>
      </c>
      <c r="G208" s="13">
        <f t="shared" si="57"/>
        <v>11000.36</v>
      </c>
      <c r="H208" s="13">
        <v>0</v>
      </c>
      <c r="I208" s="13">
        <v>4</v>
      </c>
      <c r="J208" s="13">
        <f t="shared" si="52"/>
        <v>4</v>
      </c>
      <c r="K208" s="13">
        <f t="shared" si="53"/>
        <v>0</v>
      </c>
      <c r="L208" s="13">
        <f t="shared" si="54"/>
        <v>6285.92</v>
      </c>
      <c r="M208" s="107">
        <f t="shared" si="55"/>
        <v>6285.92</v>
      </c>
      <c r="N208" s="103">
        <f t="shared" si="56"/>
        <v>0.5714285714285714</v>
      </c>
    </row>
    <row r="209" spans="1:14" ht="24.75" customHeight="1" x14ac:dyDescent="0.2">
      <c r="A209" s="108" t="s">
        <v>383</v>
      </c>
      <c r="B209" s="16" t="s">
        <v>384</v>
      </c>
      <c r="C209" s="16"/>
      <c r="D209" s="20"/>
      <c r="E209" s="19"/>
      <c r="F209" s="19"/>
      <c r="G209" s="20">
        <f>SUM(G210:G222)</f>
        <v>108234.42331222695</v>
      </c>
      <c r="H209" s="20"/>
      <c r="I209" s="19"/>
      <c r="J209" s="20"/>
      <c r="K209" s="20">
        <f>SUM(K210:K222)</f>
        <v>49536.299999999996</v>
      </c>
      <c r="L209" s="20">
        <f>SUM(L210:L222)</f>
        <v>25465.960000000003</v>
      </c>
      <c r="M209" s="109">
        <f>SUM(M210:M222)</f>
        <v>75002.260000000009</v>
      </c>
      <c r="N209" s="102">
        <f t="shared" si="56"/>
        <v>0.69296123825262912</v>
      </c>
    </row>
    <row r="210" spans="1:14" ht="58.5" hidden="1" customHeight="1" x14ac:dyDescent="0.2">
      <c r="A210" s="106" t="s">
        <v>385</v>
      </c>
      <c r="B210" s="11" t="s">
        <v>386</v>
      </c>
      <c r="C210" s="12" t="s">
        <v>28</v>
      </c>
      <c r="D210" s="13">
        <v>1</v>
      </c>
      <c r="E210" s="13">
        <f>[1]CPUs!I1763</f>
        <v>489.35</v>
      </c>
      <c r="F210" s="13">
        <v>604.98</v>
      </c>
      <c r="G210" s="13">
        <f>D210*F210</f>
        <v>604.98</v>
      </c>
      <c r="H210" s="13">
        <v>0</v>
      </c>
      <c r="I210" s="13">
        <v>0</v>
      </c>
      <c r="J210" s="13">
        <f t="shared" ref="J210:J222" si="58">H210+I210</f>
        <v>0</v>
      </c>
      <c r="K210" s="13">
        <f t="shared" ref="K210:K222" si="59">H210*F210</f>
        <v>0</v>
      </c>
      <c r="L210" s="13">
        <f t="shared" ref="L210:L222" si="60">I210*F210</f>
        <v>0</v>
      </c>
      <c r="M210" s="107">
        <f t="shared" ref="M210:M222" si="61">J210*F210</f>
        <v>0</v>
      </c>
      <c r="N210" s="103">
        <f t="shared" ref="N210:N223" si="62">M210/G210</f>
        <v>0</v>
      </c>
    </row>
    <row r="211" spans="1:14" ht="45" customHeight="1" x14ac:dyDescent="0.2">
      <c r="A211" s="106" t="s">
        <v>387</v>
      </c>
      <c r="B211" s="11" t="s">
        <v>388</v>
      </c>
      <c r="C211" s="12" t="s">
        <v>28</v>
      </c>
      <c r="D211" s="13">
        <v>100</v>
      </c>
      <c r="E211" s="13">
        <f>[1]CPUs!I1774</f>
        <v>28.43</v>
      </c>
      <c r="F211" s="13">
        <v>35.14</v>
      </c>
      <c r="G211" s="13">
        <f t="shared" ref="G211:G222" si="63">D211*F211</f>
        <v>3514</v>
      </c>
      <c r="H211" s="13">
        <v>0</v>
      </c>
      <c r="I211" s="13">
        <v>100</v>
      </c>
      <c r="J211" s="13">
        <f t="shared" si="58"/>
        <v>100</v>
      </c>
      <c r="K211" s="13">
        <f t="shared" si="59"/>
        <v>0</v>
      </c>
      <c r="L211" s="13">
        <f t="shared" si="60"/>
        <v>3514</v>
      </c>
      <c r="M211" s="107">
        <f t="shared" si="61"/>
        <v>3514</v>
      </c>
      <c r="N211" s="103">
        <f t="shared" si="62"/>
        <v>1</v>
      </c>
    </row>
    <row r="212" spans="1:14" ht="67.5" customHeight="1" x14ac:dyDescent="0.2">
      <c r="A212" s="106" t="s">
        <v>389</v>
      </c>
      <c r="B212" s="11" t="s">
        <v>390</v>
      </c>
      <c r="C212" s="12" t="s">
        <v>28</v>
      </c>
      <c r="D212" s="13">
        <v>62</v>
      </c>
      <c r="E212" s="13">
        <f>[1]CPUs!I1785</f>
        <v>285.37</v>
      </c>
      <c r="F212" s="13">
        <v>352.8</v>
      </c>
      <c r="G212" s="13">
        <f t="shared" si="63"/>
        <v>21873.600000000002</v>
      </c>
      <c r="H212" s="13">
        <v>0</v>
      </c>
      <c r="I212" s="13">
        <v>62</v>
      </c>
      <c r="J212" s="13">
        <f t="shared" si="58"/>
        <v>62</v>
      </c>
      <c r="K212" s="13">
        <f t="shared" si="59"/>
        <v>0</v>
      </c>
      <c r="L212" s="13">
        <f t="shared" si="60"/>
        <v>21873.600000000002</v>
      </c>
      <c r="M212" s="107">
        <f t="shared" si="61"/>
        <v>21873.600000000002</v>
      </c>
      <c r="N212" s="103">
        <f t="shared" si="62"/>
        <v>1</v>
      </c>
    </row>
    <row r="213" spans="1:14" ht="44.25" hidden="1" customHeight="1" x14ac:dyDescent="0.2">
      <c r="A213" s="106" t="s">
        <v>391</v>
      </c>
      <c r="B213" s="11" t="s">
        <v>392</v>
      </c>
      <c r="C213" s="12" t="s">
        <v>28</v>
      </c>
      <c r="D213" s="13">
        <v>39</v>
      </c>
      <c r="E213" s="13">
        <f>[1]CPUs!I1806</f>
        <v>87.55</v>
      </c>
      <c r="F213" s="13">
        <v>108.23</v>
      </c>
      <c r="G213" s="13">
        <f t="shared" si="63"/>
        <v>4220.97</v>
      </c>
      <c r="H213" s="13">
        <v>0</v>
      </c>
      <c r="I213" s="13">
        <v>0</v>
      </c>
      <c r="J213" s="13">
        <f t="shared" si="58"/>
        <v>0</v>
      </c>
      <c r="K213" s="13">
        <f t="shared" si="59"/>
        <v>0</v>
      </c>
      <c r="L213" s="13">
        <f t="shared" si="60"/>
        <v>0</v>
      </c>
      <c r="M213" s="107">
        <f t="shared" si="61"/>
        <v>0</v>
      </c>
      <c r="N213" s="103">
        <f t="shared" si="62"/>
        <v>0</v>
      </c>
    </row>
    <row r="214" spans="1:14" ht="36" hidden="1" customHeight="1" x14ac:dyDescent="0.2">
      <c r="A214" s="106" t="s">
        <v>393</v>
      </c>
      <c r="B214" s="11" t="s">
        <v>394</v>
      </c>
      <c r="C214" s="12" t="s">
        <v>28</v>
      </c>
      <c r="D214" s="13">
        <v>4</v>
      </c>
      <c r="E214" s="13">
        <f>[1]CPUs!I1817</f>
        <v>342.53</v>
      </c>
      <c r="F214" s="13">
        <v>423.46</v>
      </c>
      <c r="G214" s="13">
        <f t="shared" si="63"/>
        <v>1693.84</v>
      </c>
      <c r="H214" s="13">
        <v>0</v>
      </c>
      <c r="I214" s="13">
        <v>0</v>
      </c>
      <c r="J214" s="13">
        <f t="shared" si="58"/>
        <v>0</v>
      </c>
      <c r="K214" s="13">
        <f t="shared" si="59"/>
        <v>0</v>
      </c>
      <c r="L214" s="13">
        <f t="shared" si="60"/>
        <v>0</v>
      </c>
      <c r="M214" s="107">
        <f t="shared" si="61"/>
        <v>0</v>
      </c>
      <c r="N214" s="103">
        <f t="shared" si="62"/>
        <v>0</v>
      </c>
    </row>
    <row r="215" spans="1:14" ht="55.5" hidden="1" customHeight="1" x14ac:dyDescent="0.2">
      <c r="A215" s="106" t="s">
        <v>395</v>
      </c>
      <c r="B215" s="11" t="s">
        <v>396</v>
      </c>
      <c r="C215" s="12" t="s">
        <v>28</v>
      </c>
      <c r="D215" s="13">
        <v>3</v>
      </c>
      <c r="E215" s="13">
        <f>[1]CPUs!I1826</f>
        <v>2288.2885255000006</v>
      </c>
      <c r="F215" s="13">
        <v>2829.0111040756506</v>
      </c>
      <c r="G215" s="13">
        <f t="shared" si="63"/>
        <v>8487.0333122269512</v>
      </c>
      <c r="H215" s="13">
        <v>0</v>
      </c>
      <c r="I215" s="13">
        <v>0</v>
      </c>
      <c r="J215" s="13">
        <f t="shared" si="58"/>
        <v>0</v>
      </c>
      <c r="K215" s="13">
        <f t="shared" si="59"/>
        <v>0</v>
      </c>
      <c r="L215" s="13">
        <f t="shared" si="60"/>
        <v>0</v>
      </c>
      <c r="M215" s="107">
        <f t="shared" si="61"/>
        <v>0</v>
      </c>
      <c r="N215" s="103">
        <f t="shared" si="62"/>
        <v>0</v>
      </c>
    </row>
    <row r="216" spans="1:14" ht="54.75" hidden="1" customHeight="1" x14ac:dyDescent="0.2">
      <c r="A216" s="106" t="s">
        <v>397</v>
      </c>
      <c r="B216" s="11" t="s">
        <v>398</v>
      </c>
      <c r="C216" s="12" t="s">
        <v>28</v>
      </c>
      <c r="D216" s="13">
        <v>2</v>
      </c>
      <c r="E216" s="13">
        <f>[1]CPUs!I1853</f>
        <v>1871.68</v>
      </c>
      <c r="F216" s="13">
        <v>2313.9499999999998</v>
      </c>
      <c r="G216" s="13">
        <f t="shared" si="63"/>
        <v>4627.8999999999996</v>
      </c>
      <c r="H216" s="13">
        <v>0</v>
      </c>
      <c r="I216" s="13">
        <v>0</v>
      </c>
      <c r="J216" s="13">
        <f t="shared" si="58"/>
        <v>0</v>
      </c>
      <c r="K216" s="13">
        <f t="shared" si="59"/>
        <v>0</v>
      </c>
      <c r="L216" s="13">
        <f t="shared" si="60"/>
        <v>0</v>
      </c>
      <c r="M216" s="107">
        <f t="shared" si="61"/>
        <v>0</v>
      </c>
      <c r="N216" s="103">
        <f t="shared" si="62"/>
        <v>0</v>
      </c>
    </row>
    <row r="217" spans="1:14" ht="48" hidden="1" customHeight="1" x14ac:dyDescent="0.2">
      <c r="A217" s="106" t="s">
        <v>399</v>
      </c>
      <c r="B217" s="11" t="s">
        <v>400</v>
      </c>
      <c r="C217" s="12" t="s">
        <v>28</v>
      </c>
      <c r="D217" s="13">
        <v>6</v>
      </c>
      <c r="E217" s="13">
        <f>[1]CPUs!I1878</f>
        <v>492.99</v>
      </c>
      <c r="F217" s="13">
        <v>609.48</v>
      </c>
      <c r="G217" s="13">
        <f t="shared" si="63"/>
        <v>3656.88</v>
      </c>
      <c r="H217" s="13">
        <v>0</v>
      </c>
      <c r="I217" s="13">
        <v>0</v>
      </c>
      <c r="J217" s="13">
        <f t="shared" si="58"/>
        <v>0</v>
      </c>
      <c r="K217" s="13">
        <f t="shared" si="59"/>
        <v>0</v>
      </c>
      <c r="L217" s="13">
        <f t="shared" si="60"/>
        <v>0</v>
      </c>
      <c r="M217" s="107">
        <f t="shared" si="61"/>
        <v>0</v>
      </c>
      <c r="N217" s="103">
        <f t="shared" si="62"/>
        <v>0</v>
      </c>
    </row>
    <row r="218" spans="1:14" ht="42" hidden="1" customHeight="1" x14ac:dyDescent="0.2">
      <c r="A218" s="106" t="s">
        <v>401</v>
      </c>
      <c r="B218" s="11" t="s">
        <v>356</v>
      </c>
      <c r="C218" s="12" t="s">
        <v>28</v>
      </c>
      <c r="D218" s="13">
        <v>1</v>
      </c>
      <c r="E218" s="13">
        <f>[1]CPUs!I1898</f>
        <v>686.17</v>
      </c>
      <c r="F218" s="13">
        <v>848.31</v>
      </c>
      <c r="G218" s="13">
        <f t="shared" si="63"/>
        <v>848.31</v>
      </c>
      <c r="H218" s="13">
        <v>0</v>
      </c>
      <c r="I218" s="13">
        <v>0</v>
      </c>
      <c r="J218" s="13">
        <f t="shared" si="58"/>
        <v>0</v>
      </c>
      <c r="K218" s="13">
        <f t="shared" si="59"/>
        <v>0</v>
      </c>
      <c r="L218" s="13">
        <f t="shared" si="60"/>
        <v>0</v>
      </c>
      <c r="M218" s="107">
        <f t="shared" si="61"/>
        <v>0</v>
      </c>
      <c r="N218" s="103">
        <f t="shared" si="62"/>
        <v>0</v>
      </c>
    </row>
    <row r="219" spans="1:14" ht="50.25" customHeight="1" x14ac:dyDescent="0.2">
      <c r="A219" s="106" t="s">
        <v>402</v>
      </c>
      <c r="B219" s="11" t="s">
        <v>403</v>
      </c>
      <c r="C219" s="12" t="s">
        <v>28</v>
      </c>
      <c r="D219" s="13">
        <v>4</v>
      </c>
      <c r="E219" s="13">
        <f>[1]CPUs!I1918</f>
        <v>15.85</v>
      </c>
      <c r="F219" s="13">
        <v>19.59</v>
      </c>
      <c r="G219" s="13">
        <f t="shared" si="63"/>
        <v>78.36</v>
      </c>
      <c r="H219" s="13">
        <v>0</v>
      </c>
      <c r="I219" s="13">
        <v>4</v>
      </c>
      <c r="J219" s="13">
        <f t="shared" si="58"/>
        <v>4</v>
      </c>
      <c r="K219" s="13">
        <f t="shared" si="59"/>
        <v>0</v>
      </c>
      <c r="L219" s="13">
        <f t="shared" si="60"/>
        <v>78.36</v>
      </c>
      <c r="M219" s="107">
        <f t="shared" si="61"/>
        <v>78.36</v>
      </c>
      <c r="N219" s="103">
        <f t="shared" si="62"/>
        <v>1</v>
      </c>
    </row>
    <row r="220" spans="1:14" ht="24.75" customHeight="1" x14ac:dyDescent="0.2">
      <c r="A220" s="106" t="s">
        <v>404</v>
      </c>
      <c r="B220" s="11" t="s">
        <v>405</v>
      </c>
      <c r="C220" s="12" t="s">
        <v>28</v>
      </c>
      <c r="D220" s="13">
        <v>54</v>
      </c>
      <c r="E220" s="13">
        <f>[1]CPUs!I1929</f>
        <v>162.43</v>
      </c>
      <c r="F220" s="13">
        <v>200.81</v>
      </c>
      <c r="G220" s="13">
        <f t="shared" si="63"/>
        <v>10843.74</v>
      </c>
      <c r="H220" s="13">
        <v>54</v>
      </c>
      <c r="I220" s="13">
        <v>0</v>
      </c>
      <c r="J220" s="13">
        <f>H220+I220</f>
        <v>54</v>
      </c>
      <c r="K220" s="13">
        <f t="shared" si="59"/>
        <v>10843.74</v>
      </c>
      <c r="L220" s="13">
        <f t="shared" si="60"/>
        <v>0</v>
      </c>
      <c r="M220" s="107">
        <f t="shared" si="61"/>
        <v>10843.74</v>
      </c>
      <c r="N220" s="103">
        <f t="shared" si="62"/>
        <v>1</v>
      </c>
    </row>
    <row r="221" spans="1:14" ht="24.75" customHeight="1" x14ac:dyDescent="0.2">
      <c r="A221" s="106" t="s">
        <v>406</v>
      </c>
      <c r="B221" s="11" t="s">
        <v>407</v>
      </c>
      <c r="C221" s="12" t="s">
        <v>28</v>
      </c>
      <c r="D221" s="13">
        <v>2</v>
      </c>
      <c r="E221" s="13">
        <f>[1]CPUs!I1946</f>
        <v>449.43</v>
      </c>
      <c r="F221" s="13">
        <v>555.63</v>
      </c>
      <c r="G221" s="13">
        <f t="shared" si="63"/>
        <v>1111.26</v>
      </c>
      <c r="H221" s="13">
        <v>2</v>
      </c>
      <c r="I221" s="13">
        <v>0</v>
      </c>
      <c r="J221" s="13">
        <f t="shared" si="58"/>
        <v>2</v>
      </c>
      <c r="K221" s="13">
        <f t="shared" si="59"/>
        <v>1111.26</v>
      </c>
      <c r="L221" s="13">
        <f t="shared" si="60"/>
        <v>0</v>
      </c>
      <c r="M221" s="107">
        <f t="shared" si="61"/>
        <v>1111.26</v>
      </c>
      <c r="N221" s="103">
        <f t="shared" si="62"/>
        <v>1</v>
      </c>
    </row>
    <row r="222" spans="1:14" ht="24.75" customHeight="1" x14ac:dyDescent="0.2">
      <c r="A222" s="106" t="s">
        <v>408</v>
      </c>
      <c r="B222" s="11" t="s">
        <v>409</v>
      </c>
      <c r="C222" s="12" t="s">
        <v>28</v>
      </c>
      <c r="D222" s="13">
        <v>77</v>
      </c>
      <c r="E222" s="13">
        <f>[1]CPUs!I1965</f>
        <v>490.3</v>
      </c>
      <c r="F222" s="13">
        <v>606.15</v>
      </c>
      <c r="G222" s="13">
        <f t="shared" si="63"/>
        <v>46673.549999999996</v>
      </c>
      <c r="H222" s="13">
        <v>62</v>
      </c>
      <c r="I222" s="13">
        <v>0</v>
      </c>
      <c r="J222" s="13">
        <f t="shared" si="58"/>
        <v>62</v>
      </c>
      <c r="K222" s="13">
        <f t="shared" si="59"/>
        <v>37581.299999999996</v>
      </c>
      <c r="L222" s="13">
        <f t="shared" si="60"/>
        <v>0</v>
      </c>
      <c r="M222" s="107">
        <f t="shared" si="61"/>
        <v>37581.299999999996</v>
      </c>
      <c r="N222" s="103">
        <f t="shared" si="62"/>
        <v>0.80519480519480513</v>
      </c>
    </row>
    <row r="223" spans="1:14" ht="24.75" hidden="1" customHeight="1" x14ac:dyDescent="0.2">
      <c r="A223" s="108" t="s">
        <v>410</v>
      </c>
      <c r="B223" s="16" t="s">
        <v>411</v>
      </c>
      <c r="C223" s="16"/>
      <c r="D223" s="20"/>
      <c r="E223" s="19"/>
      <c r="F223" s="19"/>
      <c r="G223" s="20">
        <f>SUM(G224:G228)</f>
        <v>8758.8118458799981</v>
      </c>
      <c r="H223" s="20"/>
      <c r="I223" s="19"/>
      <c r="J223" s="20"/>
      <c r="K223" s="20">
        <f>SUM(K224:K228)</f>
        <v>0</v>
      </c>
      <c r="L223" s="20">
        <f>SUM(L224:L228)</f>
        <v>0</v>
      </c>
      <c r="M223" s="109">
        <f>SUM(M224:M228)</f>
        <v>0</v>
      </c>
      <c r="N223" s="102">
        <f t="shared" si="62"/>
        <v>0</v>
      </c>
    </row>
    <row r="224" spans="1:14" ht="24.75" hidden="1" customHeight="1" x14ac:dyDescent="0.2">
      <c r="A224" s="106" t="s">
        <v>412</v>
      </c>
      <c r="B224" s="11" t="s">
        <v>413</v>
      </c>
      <c r="C224" s="12" t="s">
        <v>28</v>
      </c>
      <c r="D224" s="13">
        <v>2</v>
      </c>
      <c r="E224" s="13">
        <f>[1]CPUs!I1985</f>
        <v>1180.7537999999997</v>
      </c>
      <c r="F224" s="13">
        <v>1459.7659229399997</v>
      </c>
      <c r="G224" s="13">
        <f>D224*F224</f>
        <v>2919.5318458799993</v>
      </c>
      <c r="H224" s="13">
        <v>0</v>
      </c>
      <c r="I224" s="13">
        <v>0</v>
      </c>
      <c r="J224" s="13">
        <f>H224+I224</f>
        <v>0</v>
      </c>
      <c r="K224" s="13">
        <f>H224*F224</f>
        <v>0</v>
      </c>
      <c r="L224" s="13">
        <f>I224*F224</f>
        <v>0</v>
      </c>
      <c r="M224" s="107">
        <f>J224*F224</f>
        <v>0</v>
      </c>
      <c r="N224" s="103">
        <f t="shared" ref="N224:N230" si="64">M224/G224</f>
        <v>0</v>
      </c>
    </row>
    <row r="225" spans="1:14" ht="24.75" hidden="1" customHeight="1" x14ac:dyDescent="0.2">
      <c r="A225" s="106" t="s">
        <v>414</v>
      </c>
      <c r="B225" s="11" t="s">
        <v>415</v>
      </c>
      <c r="C225" s="12" t="s">
        <v>28</v>
      </c>
      <c r="D225" s="13">
        <v>1</v>
      </c>
      <c r="E225" s="13">
        <f>[1]CPUs!I1998</f>
        <v>73.94</v>
      </c>
      <c r="F225" s="13">
        <v>91.41</v>
      </c>
      <c r="G225" s="13">
        <f>D225*F225</f>
        <v>91.41</v>
      </c>
      <c r="H225" s="13">
        <v>0</v>
      </c>
      <c r="I225" s="13">
        <v>0</v>
      </c>
      <c r="J225" s="13">
        <f>H225+I225</f>
        <v>0</v>
      </c>
      <c r="K225" s="13">
        <f>H225*F225</f>
        <v>0</v>
      </c>
      <c r="L225" s="13">
        <f>I225*F225</f>
        <v>0</v>
      </c>
      <c r="M225" s="107">
        <f>J225*F225</f>
        <v>0</v>
      </c>
      <c r="N225" s="103">
        <f t="shared" si="64"/>
        <v>0</v>
      </c>
    </row>
    <row r="226" spans="1:14" ht="24.75" hidden="1" customHeight="1" x14ac:dyDescent="0.2">
      <c r="A226" s="106" t="s">
        <v>416</v>
      </c>
      <c r="B226" s="11" t="s">
        <v>417</v>
      </c>
      <c r="C226" s="12" t="s">
        <v>28</v>
      </c>
      <c r="D226" s="13">
        <v>1</v>
      </c>
      <c r="E226" s="13">
        <f>[1]CPUs!I2009</f>
        <v>2668.084625</v>
      </c>
      <c r="F226" s="13">
        <v>3329.62</v>
      </c>
      <c r="G226" s="13">
        <f>D226*F226</f>
        <v>3329.62</v>
      </c>
      <c r="H226" s="13">
        <v>0</v>
      </c>
      <c r="I226" s="13">
        <v>0</v>
      </c>
      <c r="J226" s="13">
        <f>H226+I226</f>
        <v>0</v>
      </c>
      <c r="K226" s="13">
        <f>H226*F226</f>
        <v>0</v>
      </c>
      <c r="L226" s="13">
        <f>I226*F226</f>
        <v>0</v>
      </c>
      <c r="M226" s="107">
        <f>J226*F226</f>
        <v>0</v>
      </c>
      <c r="N226" s="103">
        <f t="shared" si="64"/>
        <v>0</v>
      </c>
    </row>
    <row r="227" spans="1:14" ht="24.75" hidden="1" customHeight="1" x14ac:dyDescent="0.2">
      <c r="A227" s="106" t="s">
        <v>418</v>
      </c>
      <c r="B227" s="11" t="s">
        <v>398</v>
      </c>
      <c r="C227" s="12" t="s">
        <v>28</v>
      </c>
      <c r="D227" s="13">
        <v>1</v>
      </c>
      <c r="E227" s="13">
        <f>[1]CPUs!I2035</f>
        <v>1871.68</v>
      </c>
      <c r="F227" s="13">
        <v>2313.9499999999998</v>
      </c>
      <c r="G227" s="13">
        <f>D227*F227</f>
        <v>2313.9499999999998</v>
      </c>
      <c r="H227" s="13">
        <v>0</v>
      </c>
      <c r="I227" s="13">
        <v>0</v>
      </c>
      <c r="J227" s="13">
        <f>H227+I227</f>
        <v>0</v>
      </c>
      <c r="K227" s="13">
        <f>H227*F227</f>
        <v>0</v>
      </c>
      <c r="L227" s="13">
        <f>I227*F227</f>
        <v>0</v>
      </c>
      <c r="M227" s="107">
        <f>J227*F227</f>
        <v>0</v>
      </c>
      <c r="N227" s="103">
        <f t="shared" si="64"/>
        <v>0</v>
      </c>
    </row>
    <row r="228" spans="1:14" ht="24.75" hidden="1" customHeight="1" x14ac:dyDescent="0.2">
      <c r="A228" s="106" t="s">
        <v>419</v>
      </c>
      <c r="B228" s="11" t="s">
        <v>420</v>
      </c>
      <c r="C228" s="12" t="s">
        <v>28</v>
      </c>
      <c r="D228" s="13">
        <v>1</v>
      </c>
      <c r="E228" s="13">
        <f>[1]CPUs!I2062</f>
        <v>84.37</v>
      </c>
      <c r="F228" s="13">
        <v>104.3</v>
      </c>
      <c r="G228" s="13">
        <f>D228*F228</f>
        <v>104.3</v>
      </c>
      <c r="H228" s="13">
        <v>0</v>
      </c>
      <c r="I228" s="13">
        <v>0</v>
      </c>
      <c r="J228" s="13">
        <f>H228+I228</f>
        <v>0</v>
      </c>
      <c r="K228" s="13">
        <f>H228*F228</f>
        <v>0</v>
      </c>
      <c r="L228" s="13">
        <f>I228*F228</f>
        <v>0</v>
      </c>
      <c r="M228" s="107">
        <f>J228*F228</f>
        <v>0</v>
      </c>
      <c r="N228" s="103">
        <f t="shared" si="64"/>
        <v>0</v>
      </c>
    </row>
    <row r="229" spans="1:14" ht="24.75" customHeight="1" x14ac:dyDescent="0.2">
      <c r="A229" s="108" t="s">
        <v>421</v>
      </c>
      <c r="B229" s="16" t="s">
        <v>422</v>
      </c>
      <c r="C229" s="16"/>
      <c r="D229" s="20"/>
      <c r="E229" s="19"/>
      <c r="F229" s="19"/>
      <c r="G229" s="20">
        <f>(G230+G236+G253+G283+G291+G303+G315+G325)-0.01</f>
        <v>1123079.6726381858</v>
      </c>
      <c r="H229" s="20"/>
      <c r="I229" s="19"/>
      <c r="J229" s="20"/>
      <c r="K229" s="20">
        <f>K230+K236+K253+K283+K291+K303+K315+K325</f>
        <v>139632.77176602391</v>
      </c>
      <c r="L229" s="20">
        <f>L230+L236+L253+L283+L291+L303+L315+L325</f>
        <v>214606.55924595497</v>
      </c>
      <c r="M229" s="109">
        <f>M230+M236+M253+M283+M291+M303+M315+M325</f>
        <v>354239.33101197885</v>
      </c>
      <c r="N229" s="102">
        <f t="shared" si="64"/>
        <v>0.31541781018959064</v>
      </c>
    </row>
    <row r="230" spans="1:14" ht="24.75" customHeight="1" x14ac:dyDescent="0.2">
      <c r="A230" s="108" t="s">
        <v>423</v>
      </c>
      <c r="B230" s="16" t="s">
        <v>424</v>
      </c>
      <c r="C230" s="16"/>
      <c r="D230" s="20"/>
      <c r="E230" s="19"/>
      <c r="F230" s="19"/>
      <c r="G230" s="20">
        <f>SUM(G231:G235)</f>
        <v>277382.35413757717</v>
      </c>
      <c r="H230" s="20"/>
      <c r="I230" s="19"/>
      <c r="J230" s="20"/>
      <c r="K230" s="20">
        <f>SUM(K231:K235)</f>
        <v>127235.52715386391</v>
      </c>
      <c r="L230" s="20">
        <f>SUM(L231:L235)</f>
        <v>45063.017503442548</v>
      </c>
      <c r="M230" s="109">
        <f>SUM(M231:M235)</f>
        <v>172298.54465730645</v>
      </c>
      <c r="N230" s="102">
        <f t="shared" si="64"/>
        <v>0.62115899619140569</v>
      </c>
    </row>
    <row r="231" spans="1:14" ht="78" customHeight="1" x14ac:dyDescent="0.2">
      <c r="A231" s="106" t="s">
        <v>425</v>
      </c>
      <c r="B231" s="11" t="s">
        <v>426</v>
      </c>
      <c r="C231" s="12" t="s">
        <v>28</v>
      </c>
      <c r="D231" s="13">
        <v>889</v>
      </c>
      <c r="E231" s="13">
        <f>[1]CPUs!I2070</f>
        <v>127.45674232729601</v>
      </c>
      <c r="F231" s="13">
        <v>157.57477053923606</v>
      </c>
      <c r="G231" s="13">
        <f>D231*F231</f>
        <v>140083.97100938085</v>
      </c>
      <c r="H231" s="13">
        <v>446</v>
      </c>
      <c r="I231" s="13">
        <v>175</v>
      </c>
      <c r="J231" s="13">
        <f>H231+I231</f>
        <v>621</v>
      </c>
      <c r="K231" s="13">
        <f>H231*F231</f>
        <v>70278.347660499276</v>
      </c>
      <c r="L231" s="13">
        <f>I231*F231</f>
        <v>27575.584844366309</v>
      </c>
      <c r="M231" s="107">
        <f>J231*F231</f>
        <v>97853.932504865588</v>
      </c>
      <c r="N231" s="103">
        <f t="shared" ref="N231:N236" si="65">M231/G231</f>
        <v>0.69853768278965123</v>
      </c>
    </row>
    <row r="232" spans="1:14" ht="71.25" hidden="1" customHeight="1" x14ac:dyDescent="0.2">
      <c r="A232" s="106" t="s">
        <v>427</v>
      </c>
      <c r="B232" s="11" t="s">
        <v>428</v>
      </c>
      <c r="C232" s="12" t="s">
        <v>28</v>
      </c>
      <c r="D232" s="13">
        <v>134</v>
      </c>
      <c r="E232" s="13">
        <f>[1]CPUs!I2085</f>
        <v>141.61326981252799</v>
      </c>
      <c r="F232" s="13">
        <v>175.07648546922834</v>
      </c>
      <c r="G232" s="13">
        <f>(F232*D232)</f>
        <v>23460.249052876599</v>
      </c>
      <c r="H232" s="13">
        <v>0</v>
      </c>
      <c r="I232" s="13">
        <v>0</v>
      </c>
      <c r="J232" s="13">
        <f>H232+I232</f>
        <v>0</v>
      </c>
      <c r="K232" s="13">
        <f>H232*F232</f>
        <v>0</v>
      </c>
      <c r="L232" s="13">
        <f>I232*F232</f>
        <v>0</v>
      </c>
      <c r="M232" s="107">
        <f>J232*F232</f>
        <v>0</v>
      </c>
      <c r="N232" s="103">
        <f t="shared" si="65"/>
        <v>0</v>
      </c>
    </row>
    <row r="233" spans="1:14" ht="56.25" customHeight="1" x14ac:dyDescent="0.2">
      <c r="A233" s="106" t="s">
        <v>429</v>
      </c>
      <c r="B233" s="11" t="s">
        <v>430</v>
      </c>
      <c r="C233" s="12" t="s">
        <v>28</v>
      </c>
      <c r="D233" s="13">
        <v>773</v>
      </c>
      <c r="E233" s="13">
        <f>[1]CPUs!I2098</f>
        <v>108.80750041424001</v>
      </c>
      <c r="F233" s="13">
        <v>134.51871276212492</v>
      </c>
      <c r="G233" s="13">
        <f>D233*F233</f>
        <v>103982.96496512256</v>
      </c>
      <c r="H233" s="13">
        <v>414</v>
      </c>
      <c r="I233" s="13">
        <v>130</v>
      </c>
      <c r="J233" s="13">
        <f>H233+I233</f>
        <v>544</v>
      </c>
      <c r="K233" s="13">
        <f>H233*F233</f>
        <v>55690.747083519716</v>
      </c>
      <c r="L233" s="13">
        <f>I233*F233</f>
        <v>17487.432659076239</v>
      </c>
      <c r="M233" s="107">
        <f>J233*F233</f>
        <v>73178.179742595952</v>
      </c>
      <c r="N233" s="103">
        <f t="shared" si="65"/>
        <v>0.70375161707632594</v>
      </c>
    </row>
    <row r="234" spans="1:14" ht="72" hidden="1" customHeight="1" x14ac:dyDescent="0.2">
      <c r="A234" s="106" t="s">
        <v>431</v>
      </c>
      <c r="B234" s="11" t="s">
        <v>432</v>
      </c>
      <c r="C234" s="12" t="s">
        <v>28</v>
      </c>
      <c r="D234" s="13">
        <v>25</v>
      </c>
      <c r="E234" s="13">
        <f>[1]CPUs!I2111</f>
        <v>277.88519616119999</v>
      </c>
      <c r="F234" s="13">
        <v>343.54946801409153</v>
      </c>
      <c r="G234" s="13">
        <f>(F234*D234)</f>
        <v>8588.7367003522886</v>
      </c>
      <c r="H234" s="13">
        <v>0</v>
      </c>
      <c r="I234" s="13">
        <v>0</v>
      </c>
      <c r="J234" s="13">
        <f>H234+I234</f>
        <v>0</v>
      </c>
      <c r="K234" s="13">
        <f>H234*F234</f>
        <v>0</v>
      </c>
      <c r="L234" s="13">
        <f>I234*F234</f>
        <v>0</v>
      </c>
      <c r="M234" s="107">
        <f>J234*F234</f>
        <v>0</v>
      </c>
      <c r="N234" s="103">
        <f t="shared" si="65"/>
        <v>0</v>
      </c>
    </row>
    <row r="235" spans="1:14" ht="60.75" customHeight="1" x14ac:dyDescent="0.2">
      <c r="A235" s="106" t="s">
        <v>433</v>
      </c>
      <c r="B235" s="11" t="s">
        <v>434</v>
      </c>
      <c r="C235" s="12" t="s">
        <v>28</v>
      </c>
      <c r="D235" s="13">
        <v>4</v>
      </c>
      <c r="E235" s="13">
        <f>[1]CPUs!I2126</f>
        <v>256.09326414399999</v>
      </c>
      <c r="F235" s="13">
        <v>316.60810246122719</v>
      </c>
      <c r="G235" s="13">
        <f>D235*F235</f>
        <v>1266.4324098449088</v>
      </c>
      <c r="H235" s="13">
        <v>4</v>
      </c>
      <c r="I235" s="13">
        <v>0</v>
      </c>
      <c r="J235" s="13">
        <f>H235+I235</f>
        <v>4</v>
      </c>
      <c r="K235" s="13">
        <f>H235*F235</f>
        <v>1266.4324098449088</v>
      </c>
      <c r="L235" s="13">
        <f>I235*F235</f>
        <v>0</v>
      </c>
      <c r="M235" s="107">
        <f>J235*F235</f>
        <v>1266.4324098449088</v>
      </c>
      <c r="N235" s="103">
        <f t="shared" si="65"/>
        <v>1</v>
      </c>
    </row>
    <row r="236" spans="1:14" ht="24.75" customHeight="1" x14ac:dyDescent="0.2">
      <c r="A236" s="108" t="s">
        <v>435</v>
      </c>
      <c r="B236" s="16" t="s">
        <v>436</v>
      </c>
      <c r="C236" s="16"/>
      <c r="D236" s="20"/>
      <c r="E236" s="19"/>
      <c r="F236" s="19"/>
      <c r="G236" s="20">
        <f>SUM(G237:G252)</f>
        <v>27622.953437600001</v>
      </c>
      <c r="H236" s="20"/>
      <c r="I236" s="19"/>
      <c r="J236" s="20"/>
      <c r="K236" s="20">
        <f>SUM(K237:K252)</f>
        <v>1431.9716736000003</v>
      </c>
      <c r="L236" s="20">
        <f>SUM(L237:L252)</f>
        <v>0</v>
      </c>
      <c r="M236" s="109">
        <f>SUM(M237:M252)</f>
        <v>1431.9716736000003</v>
      </c>
      <c r="N236" s="102">
        <f t="shared" si="65"/>
        <v>5.1839919175725044E-2</v>
      </c>
    </row>
    <row r="237" spans="1:14" ht="24.75" hidden="1" customHeight="1" x14ac:dyDescent="0.2">
      <c r="A237" s="106" t="s">
        <v>437</v>
      </c>
      <c r="B237" s="11" t="s">
        <v>438</v>
      </c>
      <c r="C237" s="12" t="s">
        <v>28</v>
      </c>
      <c r="D237" s="13">
        <v>1</v>
      </c>
      <c r="E237" s="13">
        <f>[1]CPUs!I2139</f>
        <v>125.08</v>
      </c>
      <c r="F237" s="13">
        <v>154.63</v>
      </c>
      <c r="G237" s="13">
        <f>D237*F237</f>
        <v>154.63</v>
      </c>
      <c r="H237" s="13">
        <v>0</v>
      </c>
      <c r="I237" s="13">
        <v>0</v>
      </c>
      <c r="J237" s="13">
        <f t="shared" ref="J237:J252" si="66">H237+I237</f>
        <v>0</v>
      </c>
      <c r="K237" s="13">
        <f t="shared" ref="K237:K252" si="67">H237*F237</f>
        <v>0</v>
      </c>
      <c r="L237" s="13">
        <f t="shared" ref="L237:L252" si="68">I237*F237</f>
        <v>0</v>
      </c>
      <c r="M237" s="107">
        <f t="shared" ref="M237:M252" si="69">J237*F237</f>
        <v>0</v>
      </c>
      <c r="N237" s="103">
        <f t="shared" ref="N237:N253" si="70">M237/G237</f>
        <v>0</v>
      </c>
    </row>
    <row r="238" spans="1:14" ht="24.75" customHeight="1" x14ac:dyDescent="0.2">
      <c r="A238" s="106" t="s">
        <v>439</v>
      </c>
      <c r="B238" s="11" t="s">
        <v>440</v>
      </c>
      <c r="C238" s="12" t="s">
        <v>28</v>
      </c>
      <c r="D238" s="13">
        <v>21</v>
      </c>
      <c r="E238" s="13">
        <f>[1]CPUs!I2148</f>
        <v>289.56800000000004</v>
      </c>
      <c r="F238" s="13">
        <v>357.99291840000006</v>
      </c>
      <c r="G238" s="13">
        <f t="shared" ref="G238:G252" si="71">D238*F238</f>
        <v>7517.8512864000013</v>
      </c>
      <c r="H238" s="13">
        <v>4</v>
      </c>
      <c r="I238" s="13">
        <v>0</v>
      </c>
      <c r="J238" s="13">
        <f t="shared" si="66"/>
        <v>4</v>
      </c>
      <c r="K238" s="13">
        <f t="shared" si="67"/>
        <v>1431.9716736000003</v>
      </c>
      <c r="L238" s="13">
        <f t="shared" si="68"/>
        <v>0</v>
      </c>
      <c r="M238" s="107">
        <f t="shared" si="69"/>
        <v>1431.9716736000003</v>
      </c>
      <c r="N238" s="103">
        <f t="shared" si="70"/>
        <v>0.19047619047619047</v>
      </c>
    </row>
    <row r="239" spans="1:14" ht="24.75" hidden="1" customHeight="1" x14ac:dyDescent="0.2">
      <c r="A239" s="106" t="s">
        <v>441</v>
      </c>
      <c r="B239" s="11" t="s">
        <v>442</v>
      </c>
      <c r="C239" s="12" t="s">
        <v>28</v>
      </c>
      <c r="D239" s="13">
        <v>3</v>
      </c>
      <c r="E239" s="13">
        <f>[1]CPUs!I2157</f>
        <v>490.65</v>
      </c>
      <c r="F239" s="13">
        <v>606.59</v>
      </c>
      <c r="G239" s="13">
        <f t="shared" si="71"/>
        <v>1819.77</v>
      </c>
      <c r="H239" s="13">
        <v>0</v>
      </c>
      <c r="I239" s="13">
        <v>0</v>
      </c>
      <c r="J239" s="13">
        <f t="shared" si="66"/>
        <v>0</v>
      </c>
      <c r="K239" s="13">
        <f t="shared" si="67"/>
        <v>0</v>
      </c>
      <c r="L239" s="13">
        <f t="shared" si="68"/>
        <v>0</v>
      </c>
      <c r="M239" s="107">
        <f t="shared" si="69"/>
        <v>0</v>
      </c>
      <c r="N239" s="103">
        <f t="shared" si="70"/>
        <v>0</v>
      </c>
    </row>
    <row r="240" spans="1:14" ht="24.75" hidden="1" customHeight="1" x14ac:dyDescent="0.2">
      <c r="A240" s="106" t="s">
        <v>443</v>
      </c>
      <c r="B240" s="11" t="s">
        <v>444</v>
      </c>
      <c r="C240" s="12" t="s">
        <v>28</v>
      </c>
      <c r="D240" s="13">
        <v>2</v>
      </c>
      <c r="E240" s="13">
        <f>[1]CPUs!I2166</f>
        <v>514.78</v>
      </c>
      <c r="F240" s="13">
        <v>636.41999999999996</v>
      </c>
      <c r="G240" s="13">
        <f t="shared" si="71"/>
        <v>1272.8399999999999</v>
      </c>
      <c r="H240" s="13">
        <v>0</v>
      </c>
      <c r="I240" s="13">
        <v>0</v>
      </c>
      <c r="J240" s="13">
        <f t="shared" si="66"/>
        <v>0</v>
      </c>
      <c r="K240" s="13">
        <f t="shared" si="67"/>
        <v>0</v>
      </c>
      <c r="L240" s="13">
        <f t="shared" si="68"/>
        <v>0</v>
      </c>
      <c r="M240" s="107">
        <f t="shared" si="69"/>
        <v>0</v>
      </c>
      <c r="N240" s="103">
        <f t="shared" si="70"/>
        <v>0</v>
      </c>
    </row>
    <row r="241" spans="1:14" ht="24.75" hidden="1" customHeight="1" x14ac:dyDescent="0.2">
      <c r="A241" s="106" t="s">
        <v>445</v>
      </c>
      <c r="B241" s="11" t="s">
        <v>446</v>
      </c>
      <c r="C241" s="12" t="s">
        <v>28</v>
      </c>
      <c r="D241" s="13">
        <v>6</v>
      </c>
      <c r="E241" s="13">
        <f>[1]CPUs!I2175</f>
        <v>481.60399999999998</v>
      </c>
      <c r="F241" s="13">
        <v>595.40702520000002</v>
      </c>
      <c r="G241" s="13">
        <f t="shared" si="71"/>
        <v>3572.4421511999999</v>
      </c>
      <c r="H241" s="13">
        <v>0</v>
      </c>
      <c r="I241" s="13">
        <v>0</v>
      </c>
      <c r="J241" s="13">
        <f t="shared" si="66"/>
        <v>0</v>
      </c>
      <c r="K241" s="13">
        <f t="shared" si="67"/>
        <v>0</v>
      </c>
      <c r="L241" s="13">
        <f t="shared" si="68"/>
        <v>0</v>
      </c>
      <c r="M241" s="107">
        <f t="shared" si="69"/>
        <v>0</v>
      </c>
      <c r="N241" s="103">
        <f t="shared" si="70"/>
        <v>0</v>
      </c>
    </row>
    <row r="242" spans="1:14" ht="24.75" hidden="1" customHeight="1" x14ac:dyDescent="0.2">
      <c r="A242" s="106" t="s">
        <v>447</v>
      </c>
      <c r="B242" s="11" t="s">
        <v>448</v>
      </c>
      <c r="C242" s="12" t="s">
        <v>28</v>
      </c>
      <c r="D242" s="13">
        <v>1</v>
      </c>
      <c r="E242" s="13">
        <f>[1]CPUs!I2184</f>
        <v>62.6</v>
      </c>
      <c r="F242" s="13">
        <v>77.39</v>
      </c>
      <c r="G242" s="13">
        <f t="shared" si="71"/>
        <v>77.39</v>
      </c>
      <c r="H242" s="13">
        <v>0</v>
      </c>
      <c r="I242" s="13">
        <v>0</v>
      </c>
      <c r="J242" s="13">
        <f t="shared" si="66"/>
        <v>0</v>
      </c>
      <c r="K242" s="13">
        <f t="shared" si="67"/>
        <v>0</v>
      </c>
      <c r="L242" s="13">
        <f t="shared" si="68"/>
        <v>0</v>
      </c>
      <c r="M242" s="107">
        <f t="shared" si="69"/>
        <v>0</v>
      </c>
      <c r="N242" s="103">
        <f t="shared" si="70"/>
        <v>0</v>
      </c>
    </row>
    <row r="243" spans="1:14" ht="24.75" hidden="1" customHeight="1" x14ac:dyDescent="0.2">
      <c r="A243" s="106" t="s">
        <v>449</v>
      </c>
      <c r="B243" s="11" t="s">
        <v>450</v>
      </c>
      <c r="C243" s="12" t="s">
        <v>28</v>
      </c>
      <c r="D243" s="13">
        <v>5</v>
      </c>
      <c r="E243" s="13">
        <f>[1]CPUs!I2193</f>
        <v>92.96</v>
      </c>
      <c r="F243" s="13">
        <v>114.92</v>
      </c>
      <c r="G243" s="13">
        <f t="shared" si="71"/>
        <v>574.6</v>
      </c>
      <c r="H243" s="13">
        <v>0</v>
      </c>
      <c r="I243" s="13">
        <v>0</v>
      </c>
      <c r="J243" s="13">
        <f t="shared" si="66"/>
        <v>0</v>
      </c>
      <c r="K243" s="13">
        <f t="shared" si="67"/>
        <v>0</v>
      </c>
      <c r="L243" s="13">
        <f t="shared" si="68"/>
        <v>0</v>
      </c>
      <c r="M243" s="107">
        <f t="shared" si="69"/>
        <v>0</v>
      </c>
      <c r="N243" s="103">
        <f t="shared" si="70"/>
        <v>0</v>
      </c>
    </row>
    <row r="244" spans="1:14" ht="24.75" hidden="1" customHeight="1" x14ac:dyDescent="0.2">
      <c r="A244" s="106" t="s">
        <v>451</v>
      </c>
      <c r="B244" s="11" t="s">
        <v>452</v>
      </c>
      <c r="C244" s="12" t="s">
        <v>28</v>
      </c>
      <c r="D244" s="13">
        <v>2</v>
      </c>
      <c r="E244" s="13">
        <f>[1]CPUs!I2202</f>
        <v>893.41</v>
      </c>
      <c r="F244" s="13">
        <v>1033.5899999999999</v>
      </c>
      <c r="G244" s="13">
        <f t="shared" si="71"/>
        <v>2067.1799999999998</v>
      </c>
      <c r="H244" s="13">
        <v>0</v>
      </c>
      <c r="I244" s="13">
        <v>0</v>
      </c>
      <c r="J244" s="13">
        <f t="shared" si="66"/>
        <v>0</v>
      </c>
      <c r="K244" s="13">
        <f t="shared" si="67"/>
        <v>0</v>
      </c>
      <c r="L244" s="13">
        <f t="shared" si="68"/>
        <v>0</v>
      </c>
      <c r="M244" s="107">
        <f t="shared" si="69"/>
        <v>0</v>
      </c>
      <c r="N244" s="103">
        <f t="shared" si="70"/>
        <v>0</v>
      </c>
    </row>
    <row r="245" spans="1:14" ht="24.75" hidden="1" customHeight="1" x14ac:dyDescent="0.2">
      <c r="A245" s="106" t="s">
        <v>453</v>
      </c>
      <c r="B245" s="11" t="s">
        <v>454</v>
      </c>
      <c r="C245" s="12" t="s">
        <v>28</v>
      </c>
      <c r="D245" s="13">
        <v>1</v>
      </c>
      <c r="E245" s="13">
        <f>[1]CPUs!I2208</f>
        <v>763.36</v>
      </c>
      <c r="F245" s="13">
        <v>883.13</v>
      </c>
      <c r="G245" s="13">
        <f t="shared" si="71"/>
        <v>883.13</v>
      </c>
      <c r="H245" s="13">
        <v>0</v>
      </c>
      <c r="I245" s="13">
        <v>0</v>
      </c>
      <c r="J245" s="13">
        <f t="shared" si="66"/>
        <v>0</v>
      </c>
      <c r="K245" s="13">
        <f t="shared" si="67"/>
        <v>0</v>
      </c>
      <c r="L245" s="13">
        <f t="shared" si="68"/>
        <v>0</v>
      </c>
      <c r="M245" s="107">
        <f t="shared" si="69"/>
        <v>0</v>
      </c>
      <c r="N245" s="103">
        <f t="shared" si="70"/>
        <v>0</v>
      </c>
    </row>
    <row r="246" spans="1:14" ht="24.75" hidden="1" customHeight="1" x14ac:dyDescent="0.2">
      <c r="A246" s="106" t="s">
        <v>455</v>
      </c>
      <c r="B246" s="11" t="s">
        <v>456</v>
      </c>
      <c r="C246" s="12" t="s">
        <v>28</v>
      </c>
      <c r="D246" s="13">
        <v>1</v>
      </c>
      <c r="E246" s="13">
        <f>[1]CPUs!I2214</f>
        <v>581.22</v>
      </c>
      <c r="F246" s="13">
        <v>672.41</v>
      </c>
      <c r="G246" s="13">
        <f t="shared" si="71"/>
        <v>672.41</v>
      </c>
      <c r="H246" s="13">
        <v>0</v>
      </c>
      <c r="I246" s="13">
        <v>0</v>
      </c>
      <c r="J246" s="13">
        <f t="shared" si="66"/>
        <v>0</v>
      </c>
      <c r="K246" s="13">
        <f t="shared" si="67"/>
        <v>0</v>
      </c>
      <c r="L246" s="13">
        <f t="shared" si="68"/>
        <v>0</v>
      </c>
      <c r="M246" s="107">
        <f t="shared" si="69"/>
        <v>0</v>
      </c>
      <c r="N246" s="103">
        <f t="shared" si="70"/>
        <v>0</v>
      </c>
    </row>
    <row r="247" spans="1:14" ht="24.75" hidden="1" customHeight="1" x14ac:dyDescent="0.2">
      <c r="A247" s="106" t="s">
        <v>457</v>
      </c>
      <c r="B247" s="11" t="s">
        <v>458</v>
      </c>
      <c r="C247" s="12" t="s">
        <v>28</v>
      </c>
      <c r="D247" s="13">
        <v>7</v>
      </c>
      <c r="E247" s="13">
        <f>[1]CPUs!I2220</f>
        <v>19.36</v>
      </c>
      <c r="F247" s="13">
        <v>22.4</v>
      </c>
      <c r="G247" s="13">
        <f t="shared" si="71"/>
        <v>156.79999999999998</v>
      </c>
      <c r="H247" s="13">
        <v>0</v>
      </c>
      <c r="I247" s="13">
        <v>0</v>
      </c>
      <c r="J247" s="13">
        <f t="shared" si="66"/>
        <v>0</v>
      </c>
      <c r="K247" s="13">
        <f t="shared" si="67"/>
        <v>0</v>
      </c>
      <c r="L247" s="13">
        <f t="shared" si="68"/>
        <v>0</v>
      </c>
      <c r="M247" s="107">
        <f t="shared" si="69"/>
        <v>0</v>
      </c>
      <c r="N247" s="103">
        <f t="shared" si="70"/>
        <v>0</v>
      </c>
    </row>
    <row r="248" spans="1:14" ht="24.75" hidden="1" customHeight="1" x14ac:dyDescent="0.2">
      <c r="A248" s="106" t="s">
        <v>459</v>
      </c>
      <c r="B248" s="11" t="s">
        <v>460</v>
      </c>
      <c r="C248" s="12" t="s">
        <v>28</v>
      </c>
      <c r="D248" s="13">
        <v>25</v>
      </c>
      <c r="E248" s="13">
        <f>[1]CPUs!I2226</f>
        <v>283.33</v>
      </c>
      <c r="F248" s="13">
        <v>327.78</v>
      </c>
      <c r="G248" s="13">
        <f t="shared" si="71"/>
        <v>8194.5</v>
      </c>
      <c r="H248" s="13">
        <v>0</v>
      </c>
      <c r="I248" s="13">
        <v>0</v>
      </c>
      <c r="J248" s="13">
        <f t="shared" si="66"/>
        <v>0</v>
      </c>
      <c r="K248" s="13">
        <f t="shared" si="67"/>
        <v>0</v>
      </c>
      <c r="L248" s="13">
        <f t="shared" si="68"/>
        <v>0</v>
      </c>
      <c r="M248" s="107">
        <f t="shared" si="69"/>
        <v>0</v>
      </c>
      <c r="N248" s="103">
        <f t="shared" si="70"/>
        <v>0</v>
      </c>
    </row>
    <row r="249" spans="1:14" ht="24.75" hidden="1" customHeight="1" x14ac:dyDescent="0.2">
      <c r="A249" s="106" t="s">
        <v>461</v>
      </c>
      <c r="B249" s="11" t="s">
        <v>462</v>
      </c>
      <c r="C249" s="12" t="s">
        <v>28</v>
      </c>
      <c r="D249" s="13">
        <v>3</v>
      </c>
      <c r="E249" s="13">
        <f>[1]CPUs!I2233</f>
        <v>29.39</v>
      </c>
      <c r="F249" s="13">
        <v>36.33</v>
      </c>
      <c r="G249" s="13">
        <f t="shared" si="71"/>
        <v>108.99</v>
      </c>
      <c r="H249" s="13">
        <v>0</v>
      </c>
      <c r="I249" s="13">
        <v>0</v>
      </c>
      <c r="J249" s="13">
        <f t="shared" si="66"/>
        <v>0</v>
      </c>
      <c r="K249" s="13">
        <f t="shared" si="67"/>
        <v>0</v>
      </c>
      <c r="L249" s="13">
        <f t="shared" si="68"/>
        <v>0</v>
      </c>
      <c r="M249" s="107">
        <f t="shared" si="69"/>
        <v>0</v>
      </c>
      <c r="N249" s="103">
        <f t="shared" si="70"/>
        <v>0</v>
      </c>
    </row>
    <row r="250" spans="1:14" ht="24.75" hidden="1" customHeight="1" x14ac:dyDescent="0.2">
      <c r="A250" s="106" t="s">
        <v>463</v>
      </c>
      <c r="B250" s="11" t="s">
        <v>464</v>
      </c>
      <c r="C250" s="12" t="s">
        <v>28</v>
      </c>
      <c r="D250" s="13">
        <v>7</v>
      </c>
      <c r="E250" s="13">
        <f>[1]CPUs!I2241</f>
        <v>5.27</v>
      </c>
      <c r="F250" s="13">
        <v>6.51</v>
      </c>
      <c r="G250" s="13">
        <f t="shared" si="71"/>
        <v>45.57</v>
      </c>
      <c r="H250" s="13">
        <v>0</v>
      </c>
      <c r="I250" s="13">
        <v>0</v>
      </c>
      <c r="J250" s="13">
        <f t="shared" si="66"/>
        <v>0</v>
      </c>
      <c r="K250" s="13">
        <f t="shared" si="67"/>
        <v>0</v>
      </c>
      <c r="L250" s="13">
        <f t="shared" si="68"/>
        <v>0</v>
      </c>
      <c r="M250" s="107">
        <f t="shared" si="69"/>
        <v>0</v>
      </c>
      <c r="N250" s="103">
        <f t="shared" si="70"/>
        <v>0</v>
      </c>
    </row>
    <row r="251" spans="1:14" ht="24.75" hidden="1" customHeight="1" x14ac:dyDescent="0.2">
      <c r="A251" s="106" t="s">
        <v>465</v>
      </c>
      <c r="B251" s="11" t="s">
        <v>466</v>
      </c>
      <c r="C251" s="12" t="s">
        <v>28</v>
      </c>
      <c r="D251" s="13">
        <v>1</v>
      </c>
      <c r="E251" s="13">
        <f>[1]CPUs!I2249</f>
        <v>12.22</v>
      </c>
      <c r="F251" s="13">
        <v>15.1</v>
      </c>
      <c r="G251" s="13">
        <f t="shared" si="71"/>
        <v>15.1</v>
      </c>
      <c r="H251" s="13">
        <v>0</v>
      </c>
      <c r="I251" s="13">
        <v>0</v>
      </c>
      <c r="J251" s="13">
        <f t="shared" si="66"/>
        <v>0</v>
      </c>
      <c r="K251" s="13">
        <f t="shared" si="67"/>
        <v>0</v>
      </c>
      <c r="L251" s="13">
        <f t="shared" si="68"/>
        <v>0</v>
      </c>
      <c r="M251" s="107">
        <f t="shared" si="69"/>
        <v>0</v>
      </c>
      <c r="N251" s="103">
        <f t="shared" si="70"/>
        <v>0</v>
      </c>
    </row>
    <row r="252" spans="1:14" ht="24.75" hidden="1" customHeight="1" x14ac:dyDescent="0.2">
      <c r="A252" s="106" t="s">
        <v>467</v>
      </c>
      <c r="B252" s="11" t="s">
        <v>468</v>
      </c>
      <c r="C252" s="12" t="s">
        <v>28</v>
      </c>
      <c r="D252" s="13">
        <v>25</v>
      </c>
      <c r="E252" s="13">
        <f>[1]CPUs!I2257</f>
        <v>15.85</v>
      </c>
      <c r="F252" s="13">
        <v>19.59</v>
      </c>
      <c r="G252" s="13">
        <f t="shared" si="71"/>
        <v>489.75</v>
      </c>
      <c r="H252" s="13">
        <v>0</v>
      </c>
      <c r="I252" s="13">
        <v>0</v>
      </c>
      <c r="J252" s="13">
        <f t="shared" si="66"/>
        <v>0</v>
      </c>
      <c r="K252" s="13">
        <f t="shared" si="67"/>
        <v>0</v>
      </c>
      <c r="L252" s="13">
        <f t="shared" si="68"/>
        <v>0</v>
      </c>
      <c r="M252" s="107">
        <f t="shared" si="69"/>
        <v>0</v>
      </c>
      <c r="N252" s="103">
        <f t="shared" si="70"/>
        <v>0</v>
      </c>
    </row>
    <row r="253" spans="1:14" ht="24.75" customHeight="1" x14ac:dyDescent="0.2">
      <c r="A253" s="108" t="s">
        <v>469</v>
      </c>
      <c r="B253" s="16" t="s">
        <v>470</v>
      </c>
      <c r="C253" s="16"/>
      <c r="D253" s="20"/>
      <c r="E253" s="19"/>
      <c r="F253" s="19"/>
      <c r="G253" s="20">
        <f>SUM(G254:G282)</f>
        <v>33394.58</v>
      </c>
      <c r="H253" s="20"/>
      <c r="I253" s="20"/>
      <c r="J253" s="20"/>
      <c r="K253" s="20">
        <f>SUM(K254:K282)</f>
        <v>772.14</v>
      </c>
      <c r="L253" s="20">
        <f>SUM(L254:L282)</f>
        <v>0</v>
      </c>
      <c r="M253" s="109">
        <f>SUM(M254:M282)</f>
        <v>772.14</v>
      </c>
      <c r="N253" s="102">
        <f t="shared" si="70"/>
        <v>2.3121716158729946E-2</v>
      </c>
    </row>
    <row r="254" spans="1:14" ht="24.75" hidden="1" customHeight="1" x14ac:dyDescent="0.2">
      <c r="A254" s="106" t="s">
        <v>471</v>
      </c>
      <c r="B254" s="11" t="s">
        <v>472</v>
      </c>
      <c r="C254" s="12" t="s">
        <v>28</v>
      </c>
      <c r="D254" s="13">
        <v>1</v>
      </c>
      <c r="E254" s="13">
        <f>[1]CPUs!I2265</f>
        <v>394.86</v>
      </c>
      <c r="F254" s="13">
        <v>488.16</v>
      </c>
      <c r="G254" s="13">
        <f>D254*F254</f>
        <v>488.16</v>
      </c>
      <c r="H254" s="13">
        <v>0</v>
      </c>
      <c r="I254" s="13">
        <v>0</v>
      </c>
      <c r="J254" s="13">
        <f t="shared" ref="J254:J282" si="72">H254+I254</f>
        <v>0</v>
      </c>
      <c r="K254" s="13">
        <f t="shared" ref="K254:K282" si="73">H254*F254</f>
        <v>0</v>
      </c>
      <c r="L254" s="13">
        <f t="shared" ref="L254:L282" si="74">I254*F254</f>
        <v>0</v>
      </c>
      <c r="M254" s="107">
        <f t="shared" ref="M254:M282" si="75">J254*F254</f>
        <v>0</v>
      </c>
      <c r="N254" s="103">
        <f t="shared" ref="N254:N283" si="76">M254/G254</f>
        <v>0</v>
      </c>
    </row>
    <row r="255" spans="1:14" ht="24.75" hidden="1" customHeight="1" x14ac:dyDescent="0.2">
      <c r="A255" s="106" t="s">
        <v>473</v>
      </c>
      <c r="B255" s="11" t="s">
        <v>474</v>
      </c>
      <c r="C255" s="12" t="s">
        <v>28</v>
      </c>
      <c r="D255" s="13">
        <v>1</v>
      </c>
      <c r="E255" s="13">
        <f>[1]CPUs!I2275</f>
        <v>345.39</v>
      </c>
      <c r="F255" s="13">
        <v>399.58</v>
      </c>
      <c r="G255" s="13">
        <f t="shared" ref="G255:G282" si="77">D255*F255</f>
        <v>399.58</v>
      </c>
      <c r="H255" s="13">
        <v>0</v>
      </c>
      <c r="I255" s="13">
        <v>0</v>
      </c>
      <c r="J255" s="13">
        <f t="shared" si="72"/>
        <v>0</v>
      </c>
      <c r="K255" s="13">
        <f t="shared" si="73"/>
        <v>0</v>
      </c>
      <c r="L255" s="13">
        <f t="shared" si="74"/>
        <v>0</v>
      </c>
      <c r="M255" s="107">
        <f t="shared" si="75"/>
        <v>0</v>
      </c>
      <c r="N255" s="103">
        <f t="shared" si="76"/>
        <v>0</v>
      </c>
    </row>
    <row r="256" spans="1:14" ht="24.75" customHeight="1" x14ac:dyDescent="0.2">
      <c r="A256" s="106" t="s">
        <v>475</v>
      </c>
      <c r="B256" s="11" t="s">
        <v>476</v>
      </c>
      <c r="C256" s="12" t="s">
        <v>28</v>
      </c>
      <c r="D256" s="13">
        <v>9</v>
      </c>
      <c r="E256" s="13">
        <f>[1]CPUs!I2282</f>
        <v>71.59</v>
      </c>
      <c r="F256" s="13">
        <v>88.5</v>
      </c>
      <c r="G256" s="13">
        <f t="shared" si="77"/>
        <v>796.5</v>
      </c>
      <c r="H256" s="13">
        <v>4</v>
      </c>
      <c r="I256" s="13">
        <v>0</v>
      </c>
      <c r="J256" s="13">
        <f t="shared" si="72"/>
        <v>4</v>
      </c>
      <c r="K256" s="13">
        <f t="shared" si="73"/>
        <v>354</v>
      </c>
      <c r="L256" s="13">
        <f t="shared" si="74"/>
        <v>0</v>
      </c>
      <c r="M256" s="107">
        <f t="shared" si="75"/>
        <v>354</v>
      </c>
      <c r="N256" s="103">
        <f t="shared" si="76"/>
        <v>0.44444444444444442</v>
      </c>
    </row>
    <row r="257" spans="1:14" ht="24.75" hidden="1" customHeight="1" x14ac:dyDescent="0.2">
      <c r="A257" s="106" t="s">
        <v>477</v>
      </c>
      <c r="B257" s="11" t="s">
        <v>478</v>
      </c>
      <c r="C257" s="12" t="s">
        <v>28</v>
      </c>
      <c r="D257" s="13">
        <v>12</v>
      </c>
      <c r="E257" s="13">
        <f>[1]CPUs!I2291</f>
        <v>71.59</v>
      </c>
      <c r="F257" s="13">
        <v>88.5</v>
      </c>
      <c r="G257" s="13">
        <f t="shared" si="77"/>
        <v>1062</v>
      </c>
      <c r="H257" s="13">
        <v>0</v>
      </c>
      <c r="I257" s="13">
        <v>0</v>
      </c>
      <c r="J257" s="13">
        <f t="shared" si="72"/>
        <v>0</v>
      </c>
      <c r="K257" s="13">
        <f t="shared" si="73"/>
        <v>0</v>
      </c>
      <c r="L257" s="13">
        <f t="shared" si="74"/>
        <v>0</v>
      </c>
      <c r="M257" s="107">
        <f t="shared" si="75"/>
        <v>0</v>
      </c>
      <c r="N257" s="103">
        <f t="shared" si="76"/>
        <v>0</v>
      </c>
    </row>
    <row r="258" spans="1:14" ht="24.75" hidden="1" customHeight="1" x14ac:dyDescent="0.2">
      <c r="A258" s="106" t="s">
        <v>479</v>
      </c>
      <c r="B258" s="11" t="s">
        <v>480</v>
      </c>
      <c r="C258" s="12" t="s">
        <v>28</v>
      </c>
      <c r="D258" s="13">
        <v>2</v>
      </c>
      <c r="E258" s="13">
        <f>[1]CPUs!I2300</f>
        <v>1115.04</v>
      </c>
      <c r="F258" s="13">
        <v>1289.99</v>
      </c>
      <c r="G258" s="13">
        <f t="shared" si="77"/>
        <v>2579.98</v>
      </c>
      <c r="H258" s="13">
        <v>0</v>
      </c>
      <c r="I258" s="13">
        <v>0</v>
      </c>
      <c r="J258" s="13">
        <f t="shared" si="72"/>
        <v>0</v>
      </c>
      <c r="K258" s="13">
        <f t="shared" si="73"/>
        <v>0</v>
      </c>
      <c r="L258" s="13">
        <f t="shared" si="74"/>
        <v>0</v>
      </c>
      <c r="M258" s="107">
        <f t="shared" si="75"/>
        <v>0</v>
      </c>
      <c r="N258" s="103">
        <f t="shared" si="76"/>
        <v>0</v>
      </c>
    </row>
    <row r="259" spans="1:14" ht="24.75" hidden="1" customHeight="1" x14ac:dyDescent="0.2">
      <c r="A259" s="106" t="s">
        <v>481</v>
      </c>
      <c r="B259" s="11" t="s">
        <v>482</v>
      </c>
      <c r="C259" s="12" t="s">
        <v>28</v>
      </c>
      <c r="D259" s="13">
        <v>7</v>
      </c>
      <c r="E259" s="13">
        <f>[1]CPUs!I2307</f>
        <v>75.349999999999994</v>
      </c>
      <c r="F259" s="13">
        <v>93.15</v>
      </c>
      <c r="G259" s="13">
        <f t="shared" si="77"/>
        <v>652.05000000000007</v>
      </c>
      <c r="H259" s="13">
        <v>0</v>
      </c>
      <c r="I259" s="13">
        <v>0</v>
      </c>
      <c r="J259" s="13">
        <f t="shared" si="72"/>
        <v>0</v>
      </c>
      <c r="K259" s="13">
        <f t="shared" si="73"/>
        <v>0</v>
      </c>
      <c r="L259" s="13">
        <f t="shared" si="74"/>
        <v>0</v>
      </c>
      <c r="M259" s="107">
        <f t="shared" si="75"/>
        <v>0</v>
      </c>
      <c r="N259" s="103">
        <f t="shared" si="76"/>
        <v>0</v>
      </c>
    </row>
    <row r="260" spans="1:14" ht="24.75" hidden="1" customHeight="1" x14ac:dyDescent="0.2">
      <c r="A260" s="106" t="s">
        <v>483</v>
      </c>
      <c r="B260" s="11" t="s">
        <v>484</v>
      </c>
      <c r="C260" s="12" t="s">
        <v>28</v>
      </c>
      <c r="D260" s="13">
        <v>3</v>
      </c>
      <c r="E260" s="13">
        <f>[1]CPUs!I2316</f>
        <v>81.02</v>
      </c>
      <c r="F260" s="13">
        <v>100.16</v>
      </c>
      <c r="G260" s="13">
        <f t="shared" si="77"/>
        <v>300.48</v>
      </c>
      <c r="H260" s="13">
        <v>0</v>
      </c>
      <c r="I260" s="13">
        <v>0</v>
      </c>
      <c r="J260" s="13">
        <f t="shared" si="72"/>
        <v>0</v>
      </c>
      <c r="K260" s="13">
        <f t="shared" si="73"/>
        <v>0</v>
      </c>
      <c r="L260" s="13">
        <f t="shared" si="74"/>
        <v>0</v>
      </c>
      <c r="M260" s="107">
        <f t="shared" si="75"/>
        <v>0</v>
      </c>
      <c r="N260" s="103">
        <f t="shared" si="76"/>
        <v>0</v>
      </c>
    </row>
    <row r="261" spans="1:14" ht="24.75" hidden="1" customHeight="1" x14ac:dyDescent="0.2">
      <c r="A261" s="106" t="s">
        <v>485</v>
      </c>
      <c r="B261" s="11" t="s">
        <v>486</v>
      </c>
      <c r="C261" s="12" t="s">
        <v>28</v>
      </c>
      <c r="D261" s="13">
        <v>10</v>
      </c>
      <c r="E261" s="13">
        <f>[1]CPUs!I2325</f>
        <v>88.46</v>
      </c>
      <c r="F261" s="13">
        <v>109.36</v>
      </c>
      <c r="G261" s="13">
        <f t="shared" si="77"/>
        <v>1093.5999999999999</v>
      </c>
      <c r="H261" s="13">
        <v>0</v>
      </c>
      <c r="I261" s="13">
        <v>0</v>
      </c>
      <c r="J261" s="13">
        <f t="shared" si="72"/>
        <v>0</v>
      </c>
      <c r="K261" s="13">
        <f t="shared" si="73"/>
        <v>0</v>
      </c>
      <c r="L261" s="13">
        <f t="shared" si="74"/>
        <v>0</v>
      </c>
      <c r="M261" s="107">
        <f t="shared" si="75"/>
        <v>0</v>
      </c>
      <c r="N261" s="103">
        <f t="shared" si="76"/>
        <v>0</v>
      </c>
    </row>
    <row r="262" spans="1:14" ht="24.75" hidden="1" customHeight="1" x14ac:dyDescent="0.2">
      <c r="A262" s="106" t="s">
        <v>487</v>
      </c>
      <c r="B262" s="11" t="s">
        <v>488</v>
      </c>
      <c r="C262" s="12" t="s">
        <v>28</v>
      </c>
      <c r="D262" s="13">
        <v>1</v>
      </c>
      <c r="E262" s="13">
        <f>[1]CPUs!I2334</f>
        <v>66.66</v>
      </c>
      <c r="F262" s="13">
        <v>77.12</v>
      </c>
      <c r="G262" s="13">
        <f t="shared" si="77"/>
        <v>77.12</v>
      </c>
      <c r="H262" s="13">
        <v>0</v>
      </c>
      <c r="I262" s="13">
        <v>0</v>
      </c>
      <c r="J262" s="13">
        <f t="shared" si="72"/>
        <v>0</v>
      </c>
      <c r="K262" s="13">
        <f t="shared" si="73"/>
        <v>0</v>
      </c>
      <c r="L262" s="13">
        <f t="shared" si="74"/>
        <v>0</v>
      </c>
      <c r="M262" s="107">
        <f t="shared" si="75"/>
        <v>0</v>
      </c>
      <c r="N262" s="103">
        <f t="shared" si="76"/>
        <v>0</v>
      </c>
    </row>
    <row r="263" spans="1:14" ht="24.75" hidden="1" customHeight="1" x14ac:dyDescent="0.2">
      <c r="A263" s="106" t="s">
        <v>489</v>
      </c>
      <c r="B263" s="11" t="s">
        <v>490</v>
      </c>
      <c r="C263" s="12" t="s">
        <v>28</v>
      </c>
      <c r="D263" s="13">
        <v>3</v>
      </c>
      <c r="E263" s="13">
        <f>[1]CPUs!I2340</f>
        <v>97.34</v>
      </c>
      <c r="F263" s="13">
        <v>112.61</v>
      </c>
      <c r="G263" s="13">
        <f t="shared" si="77"/>
        <v>337.83</v>
      </c>
      <c r="H263" s="13">
        <v>0</v>
      </c>
      <c r="I263" s="13">
        <v>0</v>
      </c>
      <c r="J263" s="13">
        <f t="shared" si="72"/>
        <v>0</v>
      </c>
      <c r="K263" s="13">
        <f t="shared" si="73"/>
        <v>0</v>
      </c>
      <c r="L263" s="13">
        <f t="shared" si="74"/>
        <v>0</v>
      </c>
      <c r="M263" s="107">
        <f t="shared" si="75"/>
        <v>0</v>
      </c>
      <c r="N263" s="103">
        <f t="shared" si="76"/>
        <v>0</v>
      </c>
    </row>
    <row r="264" spans="1:14" ht="24.75" hidden="1" customHeight="1" x14ac:dyDescent="0.2">
      <c r="A264" s="106" t="s">
        <v>491</v>
      </c>
      <c r="B264" s="11" t="s">
        <v>492</v>
      </c>
      <c r="C264" s="12" t="s">
        <v>28</v>
      </c>
      <c r="D264" s="13">
        <v>4</v>
      </c>
      <c r="E264" s="13">
        <f>[1]CPUs!I2346</f>
        <v>3140.8240000000005</v>
      </c>
      <c r="F264" s="13">
        <v>3633.62</v>
      </c>
      <c r="G264" s="13">
        <f t="shared" si="77"/>
        <v>14534.48</v>
      </c>
      <c r="H264" s="13">
        <v>0</v>
      </c>
      <c r="I264" s="13">
        <v>0</v>
      </c>
      <c r="J264" s="13">
        <f t="shared" si="72"/>
        <v>0</v>
      </c>
      <c r="K264" s="13">
        <f t="shared" si="73"/>
        <v>0</v>
      </c>
      <c r="L264" s="13">
        <f t="shared" si="74"/>
        <v>0</v>
      </c>
      <c r="M264" s="107">
        <f t="shared" si="75"/>
        <v>0</v>
      </c>
      <c r="N264" s="103">
        <f t="shared" si="76"/>
        <v>0</v>
      </c>
    </row>
    <row r="265" spans="1:14" ht="24.75" hidden="1" customHeight="1" x14ac:dyDescent="0.2">
      <c r="A265" s="106" t="s">
        <v>493</v>
      </c>
      <c r="B265" s="11" t="s">
        <v>494</v>
      </c>
      <c r="C265" s="12" t="s">
        <v>28</v>
      </c>
      <c r="D265" s="13">
        <v>13</v>
      </c>
      <c r="E265" s="13">
        <f>[1]CPUs!I2353</f>
        <v>53.53</v>
      </c>
      <c r="F265" s="13">
        <v>66.17</v>
      </c>
      <c r="G265" s="13">
        <f t="shared" si="77"/>
        <v>860.21</v>
      </c>
      <c r="H265" s="13">
        <v>0</v>
      </c>
      <c r="I265" s="13">
        <v>0</v>
      </c>
      <c r="J265" s="13">
        <f t="shared" si="72"/>
        <v>0</v>
      </c>
      <c r="K265" s="13">
        <f t="shared" si="73"/>
        <v>0</v>
      </c>
      <c r="L265" s="13">
        <f t="shared" si="74"/>
        <v>0</v>
      </c>
      <c r="M265" s="107">
        <f t="shared" si="75"/>
        <v>0</v>
      </c>
      <c r="N265" s="103">
        <f t="shared" si="76"/>
        <v>0</v>
      </c>
    </row>
    <row r="266" spans="1:14" ht="24.75" hidden="1" customHeight="1" x14ac:dyDescent="0.2">
      <c r="A266" s="106" t="s">
        <v>495</v>
      </c>
      <c r="B266" s="11" t="s">
        <v>496</v>
      </c>
      <c r="C266" s="12" t="s">
        <v>28</v>
      </c>
      <c r="D266" s="13">
        <v>2</v>
      </c>
      <c r="E266" s="13">
        <f>[1]CPUs!I2362</f>
        <v>54.52</v>
      </c>
      <c r="F266" s="13">
        <v>67.400000000000006</v>
      </c>
      <c r="G266" s="13">
        <f t="shared" si="77"/>
        <v>134.80000000000001</v>
      </c>
      <c r="H266" s="13">
        <v>0</v>
      </c>
      <c r="I266" s="13">
        <v>0</v>
      </c>
      <c r="J266" s="13">
        <f t="shared" si="72"/>
        <v>0</v>
      </c>
      <c r="K266" s="13">
        <f t="shared" si="73"/>
        <v>0</v>
      </c>
      <c r="L266" s="13">
        <f t="shared" si="74"/>
        <v>0</v>
      </c>
      <c r="M266" s="107">
        <f t="shared" si="75"/>
        <v>0</v>
      </c>
      <c r="N266" s="103">
        <f t="shared" si="76"/>
        <v>0</v>
      </c>
    </row>
    <row r="267" spans="1:14" ht="24.75" hidden="1" customHeight="1" x14ac:dyDescent="0.2">
      <c r="A267" s="106" t="s">
        <v>497</v>
      </c>
      <c r="B267" s="11" t="s">
        <v>498</v>
      </c>
      <c r="C267" s="12" t="s">
        <v>28</v>
      </c>
      <c r="D267" s="13">
        <v>1</v>
      </c>
      <c r="E267" s="13">
        <f>[1]CPUs!I2371</f>
        <v>56.63</v>
      </c>
      <c r="F267" s="13">
        <v>70.010000000000005</v>
      </c>
      <c r="G267" s="13">
        <f t="shared" si="77"/>
        <v>70.010000000000005</v>
      </c>
      <c r="H267" s="13">
        <v>0</v>
      </c>
      <c r="I267" s="13">
        <v>0</v>
      </c>
      <c r="J267" s="13">
        <f t="shared" si="72"/>
        <v>0</v>
      </c>
      <c r="K267" s="13">
        <f t="shared" si="73"/>
        <v>0</v>
      </c>
      <c r="L267" s="13">
        <f t="shared" si="74"/>
        <v>0</v>
      </c>
      <c r="M267" s="107">
        <f t="shared" si="75"/>
        <v>0</v>
      </c>
      <c r="N267" s="103">
        <f t="shared" si="76"/>
        <v>0</v>
      </c>
    </row>
    <row r="268" spans="1:14" ht="24.75" customHeight="1" x14ac:dyDescent="0.2">
      <c r="A268" s="106" t="s">
        <v>499</v>
      </c>
      <c r="B268" s="11" t="s">
        <v>500</v>
      </c>
      <c r="C268" s="12" t="s">
        <v>28</v>
      </c>
      <c r="D268" s="13">
        <v>5</v>
      </c>
      <c r="E268" s="13">
        <f>[1]CPUs!I2380</f>
        <v>56.63</v>
      </c>
      <c r="F268" s="13">
        <v>70.010000000000005</v>
      </c>
      <c r="G268" s="13">
        <f t="shared" si="77"/>
        <v>350.05</v>
      </c>
      <c r="H268" s="13">
        <v>5</v>
      </c>
      <c r="I268" s="13">
        <v>0</v>
      </c>
      <c r="J268" s="13">
        <f t="shared" si="72"/>
        <v>5</v>
      </c>
      <c r="K268" s="13">
        <f t="shared" si="73"/>
        <v>350.05</v>
      </c>
      <c r="L268" s="13">
        <f t="shared" si="74"/>
        <v>0</v>
      </c>
      <c r="M268" s="107">
        <f t="shared" si="75"/>
        <v>350.05</v>
      </c>
      <c r="N268" s="103">
        <f t="shared" si="76"/>
        <v>1</v>
      </c>
    </row>
    <row r="269" spans="1:14" ht="24.75" hidden="1" customHeight="1" x14ac:dyDescent="0.2">
      <c r="A269" s="106" t="s">
        <v>501</v>
      </c>
      <c r="B269" s="11" t="s">
        <v>502</v>
      </c>
      <c r="C269" s="12" t="s">
        <v>28</v>
      </c>
      <c r="D269" s="13">
        <v>1</v>
      </c>
      <c r="E269" s="13">
        <f>[1]CPUs!I2389</f>
        <v>59.14</v>
      </c>
      <c r="F269" s="13">
        <v>73.11</v>
      </c>
      <c r="G269" s="13">
        <f t="shared" si="77"/>
        <v>73.11</v>
      </c>
      <c r="H269" s="13">
        <v>0</v>
      </c>
      <c r="I269" s="13">
        <v>0</v>
      </c>
      <c r="J269" s="13">
        <f t="shared" si="72"/>
        <v>0</v>
      </c>
      <c r="K269" s="13">
        <f t="shared" si="73"/>
        <v>0</v>
      </c>
      <c r="L269" s="13">
        <f t="shared" si="74"/>
        <v>0</v>
      </c>
      <c r="M269" s="107">
        <f t="shared" si="75"/>
        <v>0</v>
      </c>
      <c r="N269" s="103">
        <f t="shared" si="76"/>
        <v>0</v>
      </c>
    </row>
    <row r="270" spans="1:14" ht="24.75" hidden="1" customHeight="1" x14ac:dyDescent="0.2">
      <c r="A270" s="106" t="s">
        <v>503</v>
      </c>
      <c r="B270" s="11" t="s">
        <v>504</v>
      </c>
      <c r="C270" s="12" t="s">
        <v>28</v>
      </c>
      <c r="D270" s="13">
        <v>2</v>
      </c>
      <c r="E270" s="13">
        <f>[1]CPUs!I2398</f>
        <v>62.18</v>
      </c>
      <c r="F270" s="13">
        <v>76.87</v>
      </c>
      <c r="G270" s="13">
        <f t="shared" si="77"/>
        <v>153.74</v>
      </c>
      <c r="H270" s="13">
        <v>0</v>
      </c>
      <c r="I270" s="13">
        <v>0</v>
      </c>
      <c r="J270" s="13">
        <f t="shared" si="72"/>
        <v>0</v>
      </c>
      <c r="K270" s="13">
        <f t="shared" si="73"/>
        <v>0</v>
      </c>
      <c r="L270" s="13">
        <f t="shared" si="74"/>
        <v>0</v>
      </c>
      <c r="M270" s="107">
        <f t="shared" si="75"/>
        <v>0</v>
      </c>
      <c r="N270" s="103">
        <f t="shared" si="76"/>
        <v>0</v>
      </c>
    </row>
    <row r="271" spans="1:14" ht="24.75" hidden="1" customHeight="1" x14ac:dyDescent="0.2">
      <c r="A271" s="106" t="s">
        <v>505</v>
      </c>
      <c r="B271" s="11" t="s">
        <v>506</v>
      </c>
      <c r="C271" s="12" t="s">
        <v>28</v>
      </c>
      <c r="D271" s="13">
        <v>62</v>
      </c>
      <c r="E271" s="13">
        <f>[1]CPUs!I2407</f>
        <v>67.150000000000006</v>
      </c>
      <c r="F271" s="13">
        <v>83.01</v>
      </c>
      <c r="G271" s="13">
        <f t="shared" si="77"/>
        <v>5146.62</v>
      </c>
      <c r="H271" s="13">
        <v>0</v>
      </c>
      <c r="I271" s="13">
        <v>0</v>
      </c>
      <c r="J271" s="13">
        <f t="shared" si="72"/>
        <v>0</v>
      </c>
      <c r="K271" s="13">
        <f t="shared" si="73"/>
        <v>0</v>
      </c>
      <c r="L271" s="13">
        <f t="shared" si="74"/>
        <v>0</v>
      </c>
      <c r="M271" s="107">
        <f t="shared" si="75"/>
        <v>0</v>
      </c>
      <c r="N271" s="103">
        <f t="shared" si="76"/>
        <v>0</v>
      </c>
    </row>
    <row r="272" spans="1:14" ht="24.75" customHeight="1" x14ac:dyDescent="0.2">
      <c r="A272" s="106" t="s">
        <v>507</v>
      </c>
      <c r="B272" s="11" t="s">
        <v>508</v>
      </c>
      <c r="C272" s="12" t="s">
        <v>28</v>
      </c>
      <c r="D272" s="13">
        <v>12</v>
      </c>
      <c r="E272" s="13">
        <f>[1]CPUs!I2416</f>
        <v>10.92</v>
      </c>
      <c r="F272" s="13">
        <v>13.5</v>
      </c>
      <c r="G272" s="13">
        <f t="shared" si="77"/>
        <v>162</v>
      </c>
      <c r="H272" s="13">
        <v>4</v>
      </c>
      <c r="I272" s="13">
        <v>0</v>
      </c>
      <c r="J272" s="13">
        <f t="shared" si="72"/>
        <v>4</v>
      </c>
      <c r="K272" s="13">
        <f t="shared" si="73"/>
        <v>54</v>
      </c>
      <c r="L272" s="13">
        <f t="shared" si="74"/>
        <v>0</v>
      </c>
      <c r="M272" s="107">
        <f t="shared" si="75"/>
        <v>54</v>
      </c>
      <c r="N272" s="103">
        <f t="shared" si="76"/>
        <v>0.33333333333333331</v>
      </c>
    </row>
    <row r="273" spans="1:14" ht="24.75" customHeight="1" x14ac:dyDescent="0.2">
      <c r="A273" s="106" t="s">
        <v>509</v>
      </c>
      <c r="B273" s="11" t="s">
        <v>510</v>
      </c>
      <c r="C273" s="12" t="s">
        <v>28</v>
      </c>
      <c r="D273" s="13">
        <v>1</v>
      </c>
      <c r="E273" s="13">
        <f>[1]CPUs!I2425</f>
        <v>11.4</v>
      </c>
      <c r="F273" s="13">
        <v>14.09</v>
      </c>
      <c r="G273" s="13">
        <f t="shared" si="77"/>
        <v>14.09</v>
      </c>
      <c r="H273" s="13">
        <v>1</v>
      </c>
      <c r="I273" s="13">
        <v>0</v>
      </c>
      <c r="J273" s="13">
        <f t="shared" si="72"/>
        <v>1</v>
      </c>
      <c r="K273" s="13">
        <f t="shared" si="73"/>
        <v>14.09</v>
      </c>
      <c r="L273" s="13">
        <f t="shared" si="74"/>
        <v>0</v>
      </c>
      <c r="M273" s="107">
        <f t="shared" si="75"/>
        <v>14.09</v>
      </c>
      <c r="N273" s="103">
        <f t="shared" si="76"/>
        <v>1</v>
      </c>
    </row>
    <row r="274" spans="1:14" ht="24.75" hidden="1" customHeight="1" x14ac:dyDescent="0.2">
      <c r="A274" s="106" t="s">
        <v>511</v>
      </c>
      <c r="B274" s="11" t="s">
        <v>512</v>
      </c>
      <c r="C274" s="12" t="s">
        <v>28</v>
      </c>
      <c r="D274" s="13">
        <v>6</v>
      </c>
      <c r="E274" s="13">
        <f>[1]CPUs!I2434</f>
        <v>12.46</v>
      </c>
      <c r="F274" s="13">
        <v>15.4</v>
      </c>
      <c r="G274" s="13">
        <f t="shared" si="77"/>
        <v>92.4</v>
      </c>
      <c r="H274" s="13">
        <v>0</v>
      </c>
      <c r="I274" s="13">
        <v>0</v>
      </c>
      <c r="J274" s="13">
        <f t="shared" si="72"/>
        <v>0</v>
      </c>
      <c r="K274" s="13">
        <f t="shared" si="73"/>
        <v>0</v>
      </c>
      <c r="L274" s="13">
        <f t="shared" si="74"/>
        <v>0</v>
      </c>
      <c r="M274" s="107">
        <f t="shared" si="75"/>
        <v>0</v>
      </c>
      <c r="N274" s="103">
        <f t="shared" si="76"/>
        <v>0</v>
      </c>
    </row>
    <row r="275" spans="1:14" ht="24.75" hidden="1" customHeight="1" x14ac:dyDescent="0.2">
      <c r="A275" s="106" t="s">
        <v>513</v>
      </c>
      <c r="B275" s="11" t="s">
        <v>514</v>
      </c>
      <c r="C275" s="12" t="s">
        <v>28</v>
      </c>
      <c r="D275" s="13">
        <v>1</v>
      </c>
      <c r="E275" s="13">
        <f>[1]CPUs!I2443</f>
        <v>12.46</v>
      </c>
      <c r="F275" s="13">
        <v>15.4</v>
      </c>
      <c r="G275" s="13">
        <f t="shared" si="77"/>
        <v>15.4</v>
      </c>
      <c r="H275" s="13">
        <v>0</v>
      </c>
      <c r="I275" s="13">
        <v>0</v>
      </c>
      <c r="J275" s="13">
        <f t="shared" si="72"/>
        <v>0</v>
      </c>
      <c r="K275" s="13">
        <f t="shared" si="73"/>
        <v>0</v>
      </c>
      <c r="L275" s="13">
        <f t="shared" si="74"/>
        <v>0</v>
      </c>
      <c r="M275" s="107">
        <f t="shared" si="75"/>
        <v>0</v>
      </c>
      <c r="N275" s="103">
        <f t="shared" si="76"/>
        <v>0</v>
      </c>
    </row>
    <row r="276" spans="1:14" ht="24.75" hidden="1" customHeight="1" x14ac:dyDescent="0.2">
      <c r="A276" s="106" t="s">
        <v>515</v>
      </c>
      <c r="B276" s="11" t="s">
        <v>516</v>
      </c>
      <c r="C276" s="12" t="s">
        <v>28</v>
      </c>
      <c r="D276" s="13">
        <v>2</v>
      </c>
      <c r="E276" s="13">
        <f>[1]CPUs!I2452</f>
        <v>13.71</v>
      </c>
      <c r="F276" s="13">
        <v>16.940000000000001</v>
      </c>
      <c r="G276" s="13">
        <f t="shared" si="77"/>
        <v>33.880000000000003</v>
      </c>
      <c r="H276" s="13">
        <v>0</v>
      </c>
      <c r="I276" s="13">
        <v>0</v>
      </c>
      <c r="J276" s="13">
        <f t="shared" si="72"/>
        <v>0</v>
      </c>
      <c r="K276" s="13">
        <f t="shared" si="73"/>
        <v>0</v>
      </c>
      <c r="L276" s="13">
        <f t="shared" si="74"/>
        <v>0</v>
      </c>
      <c r="M276" s="107">
        <f t="shared" si="75"/>
        <v>0</v>
      </c>
      <c r="N276" s="103">
        <f t="shared" si="76"/>
        <v>0</v>
      </c>
    </row>
    <row r="277" spans="1:14" ht="24.75" hidden="1" customHeight="1" x14ac:dyDescent="0.2">
      <c r="A277" s="106" t="s">
        <v>517</v>
      </c>
      <c r="B277" s="11" t="s">
        <v>518</v>
      </c>
      <c r="C277" s="12" t="s">
        <v>28</v>
      </c>
      <c r="D277" s="13">
        <v>79</v>
      </c>
      <c r="E277" s="13">
        <f>[1]CPUs!I2461</f>
        <v>19.7</v>
      </c>
      <c r="F277" s="13">
        <v>24.35</v>
      </c>
      <c r="G277" s="13">
        <f t="shared" si="77"/>
        <v>1923.65</v>
      </c>
      <c r="H277" s="13">
        <v>0</v>
      </c>
      <c r="I277" s="13">
        <v>0</v>
      </c>
      <c r="J277" s="13">
        <f t="shared" si="72"/>
        <v>0</v>
      </c>
      <c r="K277" s="13">
        <f t="shared" si="73"/>
        <v>0</v>
      </c>
      <c r="L277" s="13">
        <f t="shared" si="74"/>
        <v>0</v>
      </c>
      <c r="M277" s="107">
        <f t="shared" si="75"/>
        <v>0</v>
      </c>
      <c r="N277" s="103">
        <f t="shared" si="76"/>
        <v>0</v>
      </c>
    </row>
    <row r="278" spans="1:14" ht="24.75" hidden="1" customHeight="1" x14ac:dyDescent="0.2">
      <c r="A278" s="106" t="s">
        <v>519</v>
      </c>
      <c r="B278" s="11" t="s">
        <v>520</v>
      </c>
      <c r="C278" s="12" t="s">
        <v>28</v>
      </c>
      <c r="D278" s="13">
        <v>1</v>
      </c>
      <c r="E278" s="13">
        <f>[1]CPUs!I2470</f>
        <v>143.80000000000001</v>
      </c>
      <c r="F278" s="13">
        <v>177.77</v>
      </c>
      <c r="G278" s="13">
        <f t="shared" si="77"/>
        <v>177.77</v>
      </c>
      <c r="H278" s="13">
        <v>0</v>
      </c>
      <c r="I278" s="13">
        <v>0</v>
      </c>
      <c r="J278" s="13">
        <f t="shared" si="72"/>
        <v>0</v>
      </c>
      <c r="K278" s="13">
        <f t="shared" si="73"/>
        <v>0</v>
      </c>
      <c r="L278" s="13">
        <f t="shared" si="74"/>
        <v>0</v>
      </c>
      <c r="M278" s="107">
        <f t="shared" si="75"/>
        <v>0</v>
      </c>
      <c r="N278" s="103">
        <f t="shared" si="76"/>
        <v>0</v>
      </c>
    </row>
    <row r="279" spans="1:14" ht="24.75" hidden="1" customHeight="1" x14ac:dyDescent="0.2">
      <c r="A279" s="106" t="s">
        <v>521</v>
      </c>
      <c r="B279" s="11" t="s">
        <v>522</v>
      </c>
      <c r="C279" s="12" t="s">
        <v>28</v>
      </c>
      <c r="D279" s="13">
        <v>2</v>
      </c>
      <c r="E279" s="13">
        <f>[1]CPUs!I2480</f>
        <v>139.41999999999999</v>
      </c>
      <c r="F279" s="13">
        <v>161.29</v>
      </c>
      <c r="G279" s="13">
        <f t="shared" si="77"/>
        <v>322.58</v>
      </c>
      <c r="H279" s="13">
        <v>0</v>
      </c>
      <c r="I279" s="13">
        <v>0</v>
      </c>
      <c r="J279" s="13">
        <f t="shared" si="72"/>
        <v>0</v>
      </c>
      <c r="K279" s="13">
        <f t="shared" si="73"/>
        <v>0</v>
      </c>
      <c r="L279" s="13">
        <f t="shared" si="74"/>
        <v>0</v>
      </c>
      <c r="M279" s="107">
        <f t="shared" si="75"/>
        <v>0</v>
      </c>
      <c r="N279" s="103">
        <f t="shared" si="76"/>
        <v>0</v>
      </c>
    </row>
    <row r="280" spans="1:14" ht="24.75" hidden="1" customHeight="1" x14ac:dyDescent="0.2">
      <c r="A280" s="106" t="s">
        <v>523</v>
      </c>
      <c r="B280" s="11" t="s">
        <v>524</v>
      </c>
      <c r="C280" s="12" t="s">
        <v>28</v>
      </c>
      <c r="D280" s="13">
        <v>7</v>
      </c>
      <c r="E280" s="13">
        <f>[1]CPUs!I2486</f>
        <v>122.36</v>
      </c>
      <c r="F280" s="13">
        <v>141.56</v>
      </c>
      <c r="G280" s="13">
        <f t="shared" si="77"/>
        <v>990.92000000000007</v>
      </c>
      <c r="H280" s="13">
        <v>0</v>
      </c>
      <c r="I280" s="13">
        <v>0</v>
      </c>
      <c r="J280" s="13">
        <f t="shared" si="72"/>
        <v>0</v>
      </c>
      <c r="K280" s="13">
        <f t="shared" si="73"/>
        <v>0</v>
      </c>
      <c r="L280" s="13">
        <f t="shared" si="74"/>
        <v>0</v>
      </c>
      <c r="M280" s="107">
        <f t="shared" si="75"/>
        <v>0</v>
      </c>
      <c r="N280" s="103">
        <f t="shared" si="76"/>
        <v>0</v>
      </c>
    </row>
    <row r="281" spans="1:14" ht="24.75" hidden="1" customHeight="1" x14ac:dyDescent="0.2">
      <c r="A281" s="106" t="s">
        <v>525</v>
      </c>
      <c r="B281" s="11" t="s">
        <v>526</v>
      </c>
      <c r="C281" s="12" t="s">
        <v>28</v>
      </c>
      <c r="D281" s="13">
        <v>13</v>
      </c>
      <c r="E281" s="13">
        <f>[1]CPUs!I2493</f>
        <v>5.97</v>
      </c>
      <c r="F281" s="13">
        <v>7.38</v>
      </c>
      <c r="G281" s="13">
        <f t="shared" si="77"/>
        <v>95.94</v>
      </c>
      <c r="H281" s="13">
        <v>0</v>
      </c>
      <c r="I281" s="13">
        <v>0</v>
      </c>
      <c r="J281" s="13">
        <f t="shared" si="72"/>
        <v>0</v>
      </c>
      <c r="K281" s="13">
        <f t="shared" si="73"/>
        <v>0</v>
      </c>
      <c r="L281" s="13">
        <f t="shared" si="74"/>
        <v>0</v>
      </c>
      <c r="M281" s="107">
        <f t="shared" si="75"/>
        <v>0</v>
      </c>
      <c r="N281" s="103">
        <f t="shared" si="76"/>
        <v>0</v>
      </c>
    </row>
    <row r="282" spans="1:14" ht="24.75" hidden="1" customHeight="1" x14ac:dyDescent="0.2">
      <c r="A282" s="106" t="s">
        <v>527</v>
      </c>
      <c r="B282" s="11" t="s">
        <v>528</v>
      </c>
      <c r="C282" s="12" t="s">
        <v>28</v>
      </c>
      <c r="D282" s="13">
        <v>7</v>
      </c>
      <c r="E282" s="13">
        <f>[1]CPUs!I2500</f>
        <v>52.65</v>
      </c>
      <c r="F282" s="13">
        <v>65.09</v>
      </c>
      <c r="G282" s="13">
        <f t="shared" si="77"/>
        <v>455.63</v>
      </c>
      <c r="H282" s="13">
        <v>0</v>
      </c>
      <c r="I282" s="13">
        <v>0</v>
      </c>
      <c r="J282" s="13">
        <f t="shared" si="72"/>
        <v>0</v>
      </c>
      <c r="K282" s="13">
        <f t="shared" si="73"/>
        <v>0</v>
      </c>
      <c r="L282" s="13">
        <f t="shared" si="74"/>
        <v>0</v>
      </c>
      <c r="M282" s="107">
        <f t="shared" si="75"/>
        <v>0</v>
      </c>
      <c r="N282" s="103">
        <f t="shared" si="76"/>
        <v>0</v>
      </c>
    </row>
    <row r="283" spans="1:14" ht="24.75" customHeight="1" x14ac:dyDescent="0.2">
      <c r="A283" s="108" t="s">
        <v>529</v>
      </c>
      <c r="B283" s="16" t="s">
        <v>530</v>
      </c>
      <c r="C283" s="16"/>
      <c r="D283" s="20"/>
      <c r="E283" s="19"/>
      <c r="F283" s="19"/>
      <c r="G283" s="20">
        <f>SUM(G284:G290)</f>
        <v>446926.95278584154</v>
      </c>
      <c r="H283" s="20"/>
      <c r="I283" s="19"/>
      <c r="J283" s="20"/>
      <c r="K283" s="20">
        <f>SUM(K284:K290)</f>
        <v>0</v>
      </c>
      <c r="L283" s="20">
        <f>SUM(L284:L290)</f>
        <v>72018.700514535449</v>
      </c>
      <c r="M283" s="109">
        <f>SUM(M284:M290)</f>
        <v>72018.700514535449</v>
      </c>
      <c r="N283" s="102">
        <f t="shared" si="76"/>
        <v>0.16114199438100429</v>
      </c>
    </row>
    <row r="284" spans="1:14" ht="24.75" hidden="1" customHeight="1" x14ac:dyDescent="0.2">
      <c r="A284" s="106" t="s">
        <v>531</v>
      </c>
      <c r="B284" s="11" t="s">
        <v>532</v>
      </c>
      <c r="C284" s="12" t="s">
        <v>46</v>
      </c>
      <c r="D284" s="13">
        <v>90.6</v>
      </c>
      <c r="E284" s="13">
        <f>[1]CPUs!I2507</f>
        <v>38.862104999999993</v>
      </c>
      <c r="F284" s="13">
        <v>48.04522041149999</v>
      </c>
      <c r="G284" s="13">
        <f>(F284*D284)</f>
        <v>4352.8969692818991</v>
      </c>
      <c r="H284" s="13">
        <v>0</v>
      </c>
      <c r="I284" s="13">
        <v>0</v>
      </c>
      <c r="J284" s="13">
        <f t="shared" ref="J284:J290" si="78">H284+I284</f>
        <v>0</v>
      </c>
      <c r="K284" s="13">
        <f t="shared" ref="K284:K290" si="79">H284*F284</f>
        <v>0</v>
      </c>
      <c r="L284" s="13">
        <f t="shared" ref="L284:L290" si="80">I284*F284</f>
        <v>0</v>
      </c>
      <c r="M284" s="107">
        <f t="shared" ref="M284:M290" si="81">J284*F284</f>
        <v>0</v>
      </c>
      <c r="N284" s="103">
        <f t="shared" ref="N284:N291" si="82">M284/G284</f>
        <v>0</v>
      </c>
    </row>
    <row r="285" spans="1:14" ht="24.75" hidden="1" customHeight="1" x14ac:dyDescent="0.2">
      <c r="A285" s="106" t="s">
        <v>533</v>
      </c>
      <c r="B285" s="11" t="s">
        <v>534</v>
      </c>
      <c r="C285" s="12" t="s">
        <v>46</v>
      </c>
      <c r="D285" s="13">
        <v>278.10000000000002</v>
      </c>
      <c r="E285" s="13">
        <f>[1]CPUs!I2516</f>
        <v>53.746579999999987</v>
      </c>
      <c r="F285" s="13">
        <v>66.446896853999988</v>
      </c>
      <c r="G285" s="13">
        <f t="shared" ref="G285:G290" si="83">D285*F285</f>
        <v>18478.882015097399</v>
      </c>
      <c r="H285" s="13">
        <v>0</v>
      </c>
      <c r="I285" s="13">
        <v>0</v>
      </c>
      <c r="J285" s="13">
        <f t="shared" si="78"/>
        <v>0</v>
      </c>
      <c r="K285" s="13">
        <f t="shared" si="79"/>
        <v>0</v>
      </c>
      <c r="L285" s="13">
        <f t="shared" si="80"/>
        <v>0</v>
      </c>
      <c r="M285" s="107">
        <f t="shared" si="81"/>
        <v>0</v>
      </c>
      <c r="N285" s="103">
        <f t="shared" si="82"/>
        <v>0</v>
      </c>
    </row>
    <row r="286" spans="1:14" ht="24.75" customHeight="1" x14ac:dyDescent="0.2">
      <c r="A286" s="106" t="s">
        <v>535</v>
      </c>
      <c r="B286" s="11" t="s">
        <v>536</v>
      </c>
      <c r="C286" s="12" t="s">
        <v>46</v>
      </c>
      <c r="D286" s="13">
        <v>42.3</v>
      </c>
      <c r="E286" s="13">
        <f>[1]CPUs!I2525</f>
        <v>69.454714999999993</v>
      </c>
      <c r="F286" s="13">
        <v>85.866864154499993</v>
      </c>
      <c r="G286" s="13">
        <f>(F286*D286)</f>
        <v>3632.1683537353492</v>
      </c>
      <c r="H286" s="13">
        <v>0</v>
      </c>
      <c r="I286" s="13">
        <v>42.3</v>
      </c>
      <c r="J286" s="13">
        <f t="shared" si="78"/>
        <v>42.3</v>
      </c>
      <c r="K286" s="13">
        <f t="shared" si="79"/>
        <v>0</v>
      </c>
      <c r="L286" s="13">
        <f t="shared" si="80"/>
        <v>3632.1683537353492</v>
      </c>
      <c r="M286" s="107">
        <f t="shared" si="81"/>
        <v>3632.1683537353492</v>
      </c>
      <c r="N286" s="103">
        <f t="shared" si="82"/>
        <v>1</v>
      </c>
    </row>
    <row r="287" spans="1:14" ht="24.75" customHeight="1" x14ac:dyDescent="0.2">
      <c r="A287" s="106" t="s">
        <v>537</v>
      </c>
      <c r="B287" s="11" t="s">
        <v>538</v>
      </c>
      <c r="C287" s="12" t="s">
        <v>46</v>
      </c>
      <c r="D287" s="13">
        <v>613.29999999999995</v>
      </c>
      <c r="E287" s="13">
        <f>[1]CPUs!I2534</f>
        <v>90.193189999999987</v>
      </c>
      <c r="F287" s="13">
        <v>111.50584079699999</v>
      </c>
      <c r="G287" s="13">
        <f t="shared" si="83"/>
        <v>68386.532160800096</v>
      </c>
      <c r="H287" s="13">
        <v>0</v>
      </c>
      <c r="I287" s="13">
        <v>613.29999999999995</v>
      </c>
      <c r="J287" s="13">
        <f t="shared" si="78"/>
        <v>613.29999999999995</v>
      </c>
      <c r="K287" s="13">
        <f t="shared" si="79"/>
        <v>0</v>
      </c>
      <c r="L287" s="13">
        <f t="shared" si="80"/>
        <v>68386.532160800096</v>
      </c>
      <c r="M287" s="107">
        <f t="shared" si="81"/>
        <v>68386.532160800096</v>
      </c>
      <c r="N287" s="103">
        <f t="shared" si="82"/>
        <v>1</v>
      </c>
    </row>
    <row r="288" spans="1:14" ht="24.75" hidden="1" customHeight="1" x14ac:dyDescent="0.2">
      <c r="A288" s="106" t="s">
        <v>539</v>
      </c>
      <c r="B288" s="11" t="s">
        <v>540</v>
      </c>
      <c r="C288" s="12" t="s">
        <v>46</v>
      </c>
      <c r="D288" s="13">
        <v>19.8</v>
      </c>
      <c r="E288" s="13">
        <f>[1]CPUs!I2543</f>
        <v>133.68797999999998</v>
      </c>
      <c r="F288" s="13">
        <v>165.27844967399997</v>
      </c>
      <c r="G288" s="13">
        <f t="shared" si="83"/>
        <v>3272.5133035451995</v>
      </c>
      <c r="H288" s="13">
        <v>0</v>
      </c>
      <c r="I288" s="13">
        <v>0</v>
      </c>
      <c r="J288" s="13">
        <f t="shared" si="78"/>
        <v>0</v>
      </c>
      <c r="K288" s="13">
        <f t="shared" si="79"/>
        <v>0</v>
      </c>
      <c r="L288" s="13">
        <f t="shared" si="80"/>
        <v>0</v>
      </c>
      <c r="M288" s="107">
        <f t="shared" si="81"/>
        <v>0</v>
      </c>
      <c r="N288" s="103">
        <f t="shared" si="82"/>
        <v>0</v>
      </c>
    </row>
    <row r="289" spans="1:14" ht="24.75" hidden="1" customHeight="1" x14ac:dyDescent="0.2">
      <c r="A289" s="106" t="s">
        <v>541</v>
      </c>
      <c r="B289" s="11" t="s">
        <v>542</v>
      </c>
      <c r="C289" s="12" t="s">
        <v>46</v>
      </c>
      <c r="D289" s="13">
        <v>1090.8</v>
      </c>
      <c r="E289" s="13">
        <f>[1]CPUs!I2552</f>
        <v>176.94013299999995</v>
      </c>
      <c r="F289" s="13">
        <v>218.75108642789993</v>
      </c>
      <c r="G289" s="13">
        <f>(F289*D289)</f>
        <v>238613.68507555325</v>
      </c>
      <c r="H289" s="13">
        <v>0</v>
      </c>
      <c r="I289" s="13">
        <v>0</v>
      </c>
      <c r="J289" s="13">
        <f t="shared" si="78"/>
        <v>0</v>
      </c>
      <c r="K289" s="13">
        <f t="shared" si="79"/>
        <v>0</v>
      </c>
      <c r="L289" s="13">
        <f t="shared" si="80"/>
        <v>0</v>
      </c>
      <c r="M289" s="107">
        <f t="shared" si="81"/>
        <v>0</v>
      </c>
      <c r="N289" s="103">
        <f t="shared" si="82"/>
        <v>0</v>
      </c>
    </row>
    <row r="290" spans="1:14" ht="24.75" hidden="1" customHeight="1" x14ac:dyDescent="0.2">
      <c r="A290" s="106" t="s">
        <v>543</v>
      </c>
      <c r="B290" s="11" t="s">
        <v>544</v>
      </c>
      <c r="C290" s="12" t="s">
        <v>46</v>
      </c>
      <c r="D290" s="13">
        <v>389.7</v>
      </c>
      <c r="E290" s="13">
        <f>[1]CPUs!I2561</f>
        <v>228.71202099999994</v>
      </c>
      <c r="F290" s="13">
        <v>282.75667156229991</v>
      </c>
      <c r="G290" s="13">
        <f t="shared" si="83"/>
        <v>110190.27490782828</v>
      </c>
      <c r="H290" s="13">
        <v>0</v>
      </c>
      <c r="I290" s="13">
        <v>0</v>
      </c>
      <c r="J290" s="13">
        <f t="shared" si="78"/>
        <v>0</v>
      </c>
      <c r="K290" s="13">
        <f t="shared" si="79"/>
        <v>0</v>
      </c>
      <c r="L290" s="13">
        <f t="shared" si="80"/>
        <v>0</v>
      </c>
      <c r="M290" s="107">
        <f t="shared" si="81"/>
        <v>0</v>
      </c>
      <c r="N290" s="103">
        <f t="shared" si="82"/>
        <v>0</v>
      </c>
    </row>
    <row r="291" spans="1:14" ht="24.75" hidden="1" customHeight="1" x14ac:dyDescent="0.2">
      <c r="A291" s="108" t="s">
        <v>545</v>
      </c>
      <c r="B291" s="16" t="s">
        <v>546</v>
      </c>
      <c r="C291" s="16"/>
      <c r="D291" s="20"/>
      <c r="E291" s="19"/>
      <c r="F291" s="19"/>
      <c r="G291" s="20">
        <f>SUM(G292:G302)</f>
        <v>81655.141988072981</v>
      </c>
      <c r="H291" s="20"/>
      <c r="I291" s="19"/>
      <c r="J291" s="20"/>
      <c r="K291" s="20">
        <f>SUM(K292:K302)</f>
        <v>0</v>
      </c>
      <c r="L291" s="20">
        <f>SUM(L292:L302)</f>
        <v>0</v>
      </c>
      <c r="M291" s="109">
        <f>SUM(M292:M302)</f>
        <v>0</v>
      </c>
      <c r="N291" s="102">
        <f t="shared" si="82"/>
        <v>0</v>
      </c>
    </row>
    <row r="292" spans="1:14" ht="24.75" hidden="1" customHeight="1" x14ac:dyDescent="0.2">
      <c r="A292" s="106" t="s">
        <v>547</v>
      </c>
      <c r="B292" s="11" t="s">
        <v>548</v>
      </c>
      <c r="C292" s="12" t="s">
        <v>28</v>
      </c>
      <c r="D292" s="13">
        <v>678</v>
      </c>
      <c r="E292" s="13">
        <f>[1]CPUs!I2570</f>
        <v>79.560444999999987</v>
      </c>
      <c r="F292" s="13">
        <v>98.360578153499986</v>
      </c>
      <c r="G292" s="13">
        <f>D292*F292</f>
        <v>66688.471988072997</v>
      </c>
      <c r="H292" s="13">
        <v>0</v>
      </c>
      <c r="I292" s="13">
        <v>0</v>
      </c>
      <c r="J292" s="13">
        <f t="shared" ref="J292:J302" si="84">H292+I292</f>
        <v>0</v>
      </c>
      <c r="K292" s="13">
        <f t="shared" ref="K292:K302" si="85">H292*F292</f>
        <v>0</v>
      </c>
      <c r="L292" s="13">
        <f t="shared" ref="L292:L302" si="86">I292*F292</f>
        <v>0</v>
      </c>
      <c r="M292" s="107">
        <f t="shared" ref="M292:M302" si="87">J292*F292</f>
        <v>0</v>
      </c>
      <c r="N292" s="103">
        <f t="shared" ref="N292:N303" si="88">M292/G292</f>
        <v>0</v>
      </c>
    </row>
    <row r="293" spans="1:14" ht="24.75" hidden="1" customHeight="1" x14ac:dyDescent="0.2">
      <c r="A293" s="106" t="s">
        <v>549</v>
      </c>
      <c r="B293" s="11" t="s">
        <v>550</v>
      </c>
      <c r="C293" s="12" t="s">
        <v>28</v>
      </c>
      <c r="D293" s="13">
        <v>12</v>
      </c>
      <c r="E293" s="13">
        <f>[1]CPUs!I2578</f>
        <v>92.62</v>
      </c>
      <c r="F293" s="13">
        <v>114.5</v>
      </c>
      <c r="G293" s="13">
        <f t="shared" ref="G293:G302" si="89">D293*F293</f>
        <v>1374</v>
      </c>
      <c r="H293" s="13">
        <v>0</v>
      </c>
      <c r="I293" s="13">
        <v>0</v>
      </c>
      <c r="J293" s="13">
        <f t="shared" si="84"/>
        <v>0</v>
      </c>
      <c r="K293" s="13">
        <f t="shared" si="85"/>
        <v>0</v>
      </c>
      <c r="L293" s="13">
        <f t="shared" si="86"/>
        <v>0</v>
      </c>
      <c r="M293" s="107">
        <f t="shared" si="87"/>
        <v>0</v>
      </c>
      <c r="N293" s="103">
        <f t="shared" si="88"/>
        <v>0</v>
      </c>
    </row>
    <row r="294" spans="1:14" ht="24.75" hidden="1" customHeight="1" x14ac:dyDescent="0.2">
      <c r="A294" s="106" t="s">
        <v>551</v>
      </c>
      <c r="B294" s="11" t="s">
        <v>550</v>
      </c>
      <c r="C294" s="12" t="s">
        <v>28</v>
      </c>
      <c r="D294" s="13">
        <v>55</v>
      </c>
      <c r="E294" s="13">
        <f>[1]CPUs!I2578</f>
        <v>92.62</v>
      </c>
      <c r="F294" s="13">
        <v>114.5</v>
      </c>
      <c r="G294" s="13">
        <f t="shared" si="89"/>
        <v>6297.5</v>
      </c>
      <c r="H294" s="13">
        <v>0</v>
      </c>
      <c r="I294" s="13">
        <v>0</v>
      </c>
      <c r="J294" s="13">
        <f t="shared" si="84"/>
        <v>0</v>
      </c>
      <c r="K294" s="13">
        <f t="shared" si="85"/>
        <v>0</v>
      </c>
      <c r="L294" s="13">
        <f t="shared" si="86"/>
        <v>0</v>
      </c>
      <c r="M294" s="107">
        <f t="shared" si="87"/>
        <v>0</v>
      </c>
      <c r="N294" s="103">
        <f t="shared" si="88"/>
        <v>0</v>
      </c>
    </row>
    <row r="295" spans="1:14" ht="24.75" hidden="1" customHeight="1" x14ac:dyDescent="0.2">
      <c r="A295" s="106" t="s">
        <v>552</v>
      </c>
      <c r="B295" s="11" t="s">
        <v>553</v>
      </c>
      <c r="C295" s="12" t="s">
        <v>28</v>
      </c>
      <c r="D295" s="13">
        <v>3</v>
      </c>
      <c r="E295" s="13">
        <f>[1]CPUs!I2587</f>
        <v>121.97</v>
      </c>
      <c r="F295" s="13">
        <v>150.79</v>
      </c>
      <c r="G295" s="13">
        <f t="shared" si="89"/>
        <v>452.37</v>
      </c>
      <c r="H295" s="13">
        <v>0</v>
      </c>
      <c r="I295" s="13">
        <v>0</v>
      </c>
      <c r="J295" s="13">
        <f t="shared" si="84"/>
        <v>0</v>
      </c>
      <c r="K295" s="13">
        <f t="shared" si="85"/>
        <v>0</v>
      </c>
      <c r="L295" s="13">
        <f t="shared" si="86"/>
        <v>0</v>
      </c>
      <c r="M295" s="107">
        <f t="shared" si="87"/>
        <v>0</v>
      </c>
      <c r="N295" s="103">
        <f t="shared" si="88"/>
        <v>0</v>
      </c>
    </row>
    <row r="296" spans="1:14" ht="24.75" hidden="1" customHeight="1" x14ac:dyDescent="0.2">
      <c r="A296" s="106" t="s">
        <v>554</v>
      </c>
      <c r="B296" s="11" t="s">
        <v>555</v>
      </c>
      <c r="C296" s="12" t="s">
        <v>28</v>
      </c>
      <c r="D296" s="13">
        <v>13</v>
      </c>
      <c r="E296" s="13">
        <f>[1]CPUs!I2596</f>
        <v>101.31</v>
      </c>
      <c r="F296" s="13">
        <v>125.24</v>
      </c>
      <c r="G296" s="13">
        <f t="shared" si="89"/>
        <v>1628.12</v>
      </c>
      <c r="H296" s="13">
        <v>0</v>
      </c>
      <c r="I296" s="13">
        <v>0</v>
      </c>
      <c r="J296" s="13">
        <f t="shared" si="84"/>
        <v>0</v>
      </c>
      <c r="K296" s="13">
        <f t="shared" si="85"/>
        <v>0</v>
      </c>
      <c r="L296" s="13">
        <f t="shared" si="86"/>
        <v>0</v>
      </c>
      <c r="M296" s="107">
        <f t="shared" si="87"/>
        <v>0</v>
      </c>
      <c r="N296" s="103">
        <f t="shared" si="88"/>
        <v>0</v>
      </c>
    </row>
    <row r="297" spans="1:14" ht="24.75" hidden="1" customHeight="1" x14ac:dyDescent="0.2">
      <c r="A297" s="106" t="s">
        <v>556</v>
      </c>
      <c r="B297" s="11" t="s">
        <v>557</v>
      </c>
      <c r="C297" s="12" t="s">
        <v>28</v>
      </c>
      <c r="D297" s="13">
        <v>80</v>
      </c>
      <c r="E297" s="13">
        <f>[1]CPUs!I2605</f>
        <v>37.700000000000003</v>
      </c>
      <c r="F297" s="13">
        <v>46.6</v>
      </c>
      <c r="G297" s="13">
        <f t="shared" si="89"/>
        <v>3728</v>
      </c>
      <c r="H297" s="13">
        <v>0</v>
      </c>
      <c r="I297" s="13">
        <v>0</v>
      </c>
      <c r="J297" s="13">
        <f t="shared" si="84"/>
        <v>0</v>
      </c>
      <c r="K297" s="13">
        <f t="shared" si="85"/>
        <v>0</v>
      </c>
      <c r="L297" s="13">
        <f t="shared" si="86"/>
        <v>0</v>
      </c>
      <c r="M297" s="107">
        <f t="shared" si="87"/>
        <v>0</v>
      </c>
      <c r="N297" s="103">
        <f t="shared" si="88"/>
        <v>0</v>
      </c>
    </row>
    <row r="298" spans="1:14" ht="24.75" hidden="1" customHeight="1" x14ac:dyDescent="0.2">
      <c r="A298" s="106" t="s">
        <v>558</v>
      </c>
      <c r="B298" s="11" t="s">
        <v>559</v>
      </c>
      <c r="C298" s="12" t="s">
        <v>28</v>
      </c>
      <c r="D298" s="13">
        <v>4</v>
      </c>
      <c r="E298" s="13">
        <f>[1]CPUs!I2614</f>
        <v>35.020000000000003</v>
      </c>
      <c r="F298" s="13">
        <v>43.29</v>
      </c>
      <c r="G298" s="13">
        <f t="shared" si="89"/>
        <v>173.16</v>
      </c>
      <c r="H298" s="13">
        <v>0</v>
      </c>
      <c r="I298" s="13">
        <v>0</v>
      </c>
      <c r="J298" s="13">
        <f t="shared" si="84"/>
        <v>0</v>
      </c>
      <c r="K298" s="13">
        <f t="shared" si="85"/>
        <v>0</v>
      </c>
      <c r="L298" s="13">
        <f t="shared" si="86"/>
        <v>0</v>
      </c>
      <c r="M298" s="107">
        <f t="shared" si="87"/>
        <v>0</v>
      </c>
      <c r="N298" s="103">
        <f t="shared" si="88"/>
        <v>0</v>
      </c>
    </row>
    <row r="299" spans="1:14" ht="24.75" hidden="1" customHeight="1" x14ac:dyDescent="0.2">
      <c r="A299" s="106" t="s">
        <v>560</v>
      </c>
      <c r="B299" s="11" t="s">
        <v>561</v>
      </c>
      <c r="C299" s="12" t="s">
        <v>28</v>
      </c>
      <c r="D299" s="13">
        <v>28</v>
      </c>
      <c r="E299" s="13">
        <f>[1]CPUs!I2623</f>
        <v>25.14</v>
      </c>
      <c r="F299" s="13">
        <v>31.08</v>
      </c>
      <c r="G299" s="13">
        <f t="shared" si="89"/>
        <v>870.24</v>
      </c>
      <c r="H299" s="13">
        <v>0</v>
      </c>
      <c r="I299" s="13">
        <v>0</v>
      </c>
      <c r="J299" s="13">
        <f t="shared" si="84"/>
        <v>0</v>
      </c>
      <c r="K299" s="13">
        <f t="shared" si="85"/>
        <v>0</v>
      </c>
      <c r="L299" s="13">
        <f t="shared" si="86"/>
        <v>0</v>
      </c>
      <c r="M299" s="107">
        <f t="shared" si="87"/>
        <v>0</v>
      </c>
      <c r="N299" s="103">
        <f t="shared" si="88"/>
        <v>0</v>
      </c>
    </row>
    <row r="300" spans="1:14" ht="24.75" hidden="1" customHeight="1" x14ac:dyDescent="0.2">
      <c r="A300" s="106" t="s">
        <v>562</v>
      </c>
      <c r="B300" s="11" t="s">
        <v>563</v>
      </c>
      <c r="C300" s="12" t="s">
        <v>28</v>
      </c>
      <c r="D300" s="13">
        <v>4</v>
      </c>
      <c r="E300" s="13">
        <f>[1]CPUs!I2631</f>
        <v>63.84</v>
      </c>
      <c r="F300" s="13">
        <v>78.92</v>
      </c>
      <c r="G300" s="13">
        <f t="shared" si="89"/>
        <v>315.68</v>
      </c>
      <c r="H300" s="13">
        <v>0</v>
      </c>
      <c r="I300" s="13">
        <v>0</v>
      </c>
      <c r="J300" s="13">
        <f t="shared" si="84"/>
        <v>0</v>
      </c>
      <c r="K300" s="13">
        <f t="shared" si="85"/>
        <v>0</v>
      </c>
      <c r="L300" s="13">
        <f t="shared" si="86"/>
        <v>0</v>
      </c>
      <c r="M300" s="107">
        <f t="shared" si="87"/>
        <v>0</v>
      </c>
      <c r="N300" s="103">
        <f t="shared" si="88"/>
        <v>0</v>
      </c>
    </row>
    <row r="301" spans="1:14" ht="24.75" hidden="1" customHeight="1" x14ac:dyDescent="0.2">
      <c r="A301" s="106" t="s">
        <v>564</v>
      </c>
      <c r="B301" s="11" t="s">
        <v>565</v>
      </c>
      <c r="C301" s="12" t="s">
        <v>46</v>
      </c>
      <c r="D301" s="13">
        <v>60</v>
      </c>
      <c r="E301" s="13">
        <f>[1]CPUs!I2639</f>
        <v>1.1399999999999999</v>
      </c>
      <c r="F301" s="13">
        <v>1.32</v>
      </c>
      <c r="G301" s="13">
        <f t="shared" si="89"/>
        <v>79.2</v>
      </c>
      <c r="H301" s="13">
        <v>0</v>
      </c>
      <c r="I301" s="13">
        <v>0</v>
      </c>
      <c r="J301" s="13">
        <f t="shared" si="84"/>
        <v>0</v>
      </c>
      <c r="K301" s="13">
        <f t="shared" si="85"/>
        <v>0</v>
      </c>
      <c r="L301" s="13">
        <f t="shared" si="86"/>
        <v>0</v>
      </c>
      <c r="M301" s="107">
        <f t="shared" si="87"/>
        <v>0</v>
      </c>
      <c r="N301" s="103">
        <f t="shared" si="88"/>
        <v>0</v>
      </c>
    </row>
    <row r="302" spans="1:14" ht="24.75" hidden="1" customHeight="1" x14ac:dyDescent="0.2">
      <c r="A302" s="106" t="s">
        <v>566</v>
      </c>
      <c r="B302" s="11" t="s">
        <v>567</v>
      </c>
      <c r="C302" s="12" t="s">
        <v>28</v>
      </c>
      <c r="D302" s="13">
        <v>5</v>
      </c>
      <c r="E302" s="13">
        <f>[1]CPUs!I2645</f>
        <v>8.3699999999999992</v>
      </c>
      <c r="F302" s="13">
        <v>9.68</v>
      </c>
      <c r="G302" s="13">
        <f t="shared" si="89"/>
        <v>48.4</v>
      </c>
      <c r="H302" s="13">
        <v>0</v>
      </c>
      <c r="I302" s="13">
        <v>0</v>
      </c>
      <c r="J302" s="13">
        <f t="shared" si="84"/>
        <v>0</v>
      </c>
      <c r="K302" s="13">
        <f t="shared" si="85"/>
        <v>0</v>
      </c>
      <c r="L302" s="13">
        <f t="shared" si="86"/>
        <v>0</v>
      </c>
      <c r="M302" s="107">
        <f t="shared" si="87"/>
        <v>0</v>
      </c>
      <c r="N302" s="103">
        <f t="shared" si="88"/>
        <v>0</v>
      </c>
    </row>
    <row r="303" spans="1:14" ht="24.75" customHeight="1" x14ac:dyDescent="0.2">
      <c r="A303" s="108" t="s">
        <v>568</v>
      </c>
      <c r="B303" s="16" t="s">
        <v>569</v>
      </c>
      <c r="C303" s="16"/>
      <c r="D303" s="20"/>
      <c r="E303" s="19"/>
      <c r="F303" s="19"/>
      <c r="G303" s="20">
        <f>SUM(G304:G314)</f>
        <v>60748.027976359997</v>
      </c>
      <c r="H303" s="20"/>
      <c r="I303" s="19"/>
      <c r="J303" s="20"/>
      <c r="K303" s="20">
        <f>SUM(K304:K314)</f>
        <v>0</v>
      </c>
      <c r="L303" s="20">
        <f>SUM(L304:L314)</f>
        <v>52663.389143039996</v>
      </c>
      <c r="M303" s="109">
        <f>SUM(M304:M314)</f>
        <v>52663.389143039996</v>
      </c>
      <c r="N303" s="102">
        <f t="shared" si="88"/>
        <v>0.86691520527273536</v>
      </c>
    </row>
    <row r="304" spans="1:14" ht="24.75" hidden="1" customHeight="1" x14ac:dyDescent="0.2">
      <c r="A304" s="106" t="s">
        <v>570</v>
      </c>
      <c r="B304" s="11" t="s">
        <v>571</v>
      </c>
      <c r="C304" s="12" t="s">
        <v>28</v>
      </c>
      <c r="D304" s="13">
        <v>1</v>
      </c>
      <c r="E304" s="13">
        <f>[1]CPUs!I2652</f>
        <v>2242.6764000000003</v>
      </c>
      <c r="F304" s="13">
        <v>2772.6208333200002</v>
      </c>
      <c r="G304" s="13">
        <f>D304*F304</f>
        <v>2772.6208333200002</v>
      </c>
      <c r="H304" s="13">
        <v>0</v>
      </c>
      <c r="I304" s="13">
        <v>0</v>
      </c>
      <c r="J304" s="13">
        <f t="shared" ref="J304:J314" si="90">H304+I304</f>
        <v>0</v>
      </c>
      <c r="K304" s="13">
        <f t="shared" ref="K304:K314" si="91">H304*F304</f>
        <v>0</v>
      </c>
      <c r="L304" s="13">
        <f t="shared" ref="L304:L314" si="92">I304*F304</f>
        <v>0</v>
      </c>
      <c r="M304" s="107">
        <f t="shared" ref="M304:M314" si="93">J304*F304</f>
        <v>0</v>
      </c>
      <c r="N304" s="103">
        <f t="shared" ref="N304:N315" si="94">M304/G304</f>
        <v>0</v>
      </c>
    </row>
    <row r="305" spans="1:14" ht="24.75" hidden="1" customHeight="1" x14ac:dyDescent="0.2">
      <c r="A305" s="106" t="s">
        <v>572</v>
      </c>
      <c r="B305" s="11" t="s">
        <v>573</v>
      </c>
      <c r="C305" s="12" t="s">
        <v>28</v>
      </c>
      <c r="D305" s="13">
        <v>1</v>
      </c>
      <c r="E305" s="13">
        <f>[1]CPUs!I2679</f>
        <v>507.29</v>
      </c>
      <c r="F305" s="13">
        <v>627.16</v>
      </c>
      <c r="G305" s="13">
        <f t="shared" ref="G305:G314" si="95">D305*F305</f>
        <v>627.16</v>
      </c>
      <c r="H305" s="13">
        <v>0</v>
      </c>
      <c r="I305" s="13">
        <v>0</v>
      </c>
      <c r="J305" s="13">
        <f t="shared" si="90"/>
        <v>0</v>
      </c>
      <c r="K305" s="13">
        <f t="shared" si="91"/>
        <v>0</v>
      </c>
      <c r="L305" s="13">
        <f t="shared" si="92"/>
        <v>0</v>
      </c>
      <c r="M305" s="107">
        <f t="shared" si="93"/>
        <v>0</v>
      </c>
      <c r="N305" s="103">
        <f t="shared" si="94"/>
        <v>0</v>
      </c>
    </row>
    <row r="306" spans="1:14" ht="24.75" hidden="1" customHeight="1" x14ac:dyDescent="0.2">
      <c r="A306" s="106" t="s">
        <v>574</v>
      </c>
      <c r="B306" s="11" t="s">
        <v>575</v>
      </c>
      <c r="C306" s="12" t="s">
        <v>28</v>
      </c>
      <c r="D306" s="13">
        <v>1</v>
      </c>
      <c r="E306" s="13">
        <f>[1]CPUs!I2688</f>
        <v>1255.7216600000002</v>
      </c>
      <c r="F306" s="13">
        <v>1452.74</v>
      </c>
      <c r="G306" s="13">
        <f t="shared" si="95"/>
        <v>1452.74</v>
      </c>
      <c r="H306" s="13">
        <v>0</v>
      </c>
      <c r="I306" s="13">
        <v>0</v>
      </c>
      <c r="J306" s="13">
        <f t="shared" si="90"/>
        <v>0</v>
      </c>
      <c r="K306" s="13">
        <f t="shared" si="91"/>
        <v>0</v>
      </c>
      <c r="L306" s="13">
        <f t="shared" si="92"/>
        <v>0</v>
      </c>
      <c r="M306" s="107">
        <f t="shared" si="93"/>
        <v>0</v>
      </c>
      <c r="N306" s="103">
        <f t="shared" si="94"/>
        <v>0</v>
      </c>
    </row>
    <row r="307" spans="1:14" ht="45" customHeight="1" x14ac:dyDescent="0.2">
      <c r="A307" s="106" t="s">
        <v>576</v>
      </c>
      <c r="B307" s="11" t="s">
        <v>577</v>
      </c>
      <c r="C307" s="12" t="s">
        <v>28</v>
      </c>
      <c r="D307" s="13">
        <v>1</v>
      </c>
      <c r="E307" s="13">
        <f>[1]CPUs!I2703</f>
        <v>42597.580799999996</v>
      </c>
      <c r="F307" s="13">
        <v>52663.389143039996</v>
      </c>
      <c r="G307" s="13">
        <f>(F307*D307)</f>
        <v>52663.389143039996</v>
      </c>
      <c r="H307" s="13">
        <v>0</v>
      </c>
      <c r="I307" s="13">
        <v>1</v>
      </c>
      <c r="J307" s="13">
        <f t="shared" si="90"/>
        <v>1</v>
      </c>
      <c r="K307" s="13">
        <f t="shared" si="91"/>
        <v>0</v>
      </c>
      <c r="L307" s="13">
        <f t="shared" si="92"/>
        <v>52663.389143039996</v>
      </c>
      <c r="M307" s="107">
        <f t="shared" si="93"/>
        <v>52663.389143039996</v>
      </c>
      <c r="N307" s="103">
        <f t="shared" si="94"/>
        <v>1</v>
      </c>
    </row>
    <row r="308" spans="1:14" ht="24.75" hidden="1" customHeight="1" x14ac:dyDescent="0.2">
      <c r="A308" s="106" t="s">
        <v>578</v>
      </c>
      <c r="B308" s="11" t="s">
        <v>579</v>
      </c>
      <c r="C308" s="12" t="s">
        <v>28</v>
      </c>
      <c r="D308" s="13">
        <v>3</v>
      </c>
      <c r="E308" s="13">
        <f>[1]CPUs!I2713</f>
        <v>71.73</v>
      </c>
      <c r="F308" s="13">
        <v>88.67</v>
      </c>
      <c r="G308" s="13">
        <f t="shared" si="95"/>
        <v>266.01</v>
      </c>
      <c r="H308" s="13">
        <v>0</v>
      </c>
      <c r="I308" s="13">
        <v>0</v>
      </c>
      <c r="J308" s="13">
        <f t="shared" si="90"/>
        <v>0</v>
      </c>
      <c r="K308" s="13">
        <f t="shared" si="91"/>
        <v>0</v>
      </c>
      <c r="L308" s="13">
        <f t="shared" si="92"/>
        <v>0</v>
      </c>
      <c r="M308" s="107">
        <f t="shared" si="93"/>
        <v>0</v>
      </c>
      <c r="N308" s="103">
        <f t="shared" si="94"/>
        <v>0</v>
      </c>
    </row>
    <row r="309" spans="1:14" ht="24.75" hidden="1" customHeight="1" x14ac:dyDescent="0.2">
      <c r="A309" s="106" t="s">
        <v>580</v>
      </c>
      <c r="B309" s="11" t="s">
        <v>581</v>
      </c>
      <c r="C309" s="12" t="s">
        <v>28</v>
      </c>
      <c r="D309" s="13">
        <v>1</v>
      </c>
      <c r="E309" s="13">
        <f>[1]CPUs!I2721</f>
        <v>12.12</v>
      </c>
      <c r="F309" s="13">
        <v>14.98</v>
      </c>
      <c r="G309" s="13">
        <f t="shared" si="95"/>
        <v>14.98</v>
      </c>
      <c r="H309" s="13">
        <v>0</v>
      </c>
      <c r="I309" s="13">
        <v>0</v>
      </c>
      <c r="J309" s="13">
        <f t="shared" si="90"/>
        <v>0</v>
      </c>
      <c r="K309" s="13">
        <f t="shared" si="91"/>
        <v>0</v>
      </c>
      <c r="L309" s="13">
        <f t="shared" si="92"/>
        <v>0</v>
      </c>
      <c r="M309" s="107">
        <f t="shared" si="93"/>
        <v>0</v>
      </c>
      <c r="N309" s="103">
        <f t="shared" si="94"/>
        <v>0</v>
      </c>
    </row>
    <row r="310" spans="1:14" ht="24.75" hidden="1" customHeight="1" x14ac:dyDescent="0.2">
      <c r="A310" s="106" t="s">
        <v>582</v>
      </c>
      <c r="B310" s="11" t="s">
        <v>583</v>
      </c>
      <c r="C310" s="12" t="s">
        <v>28</v>
      </c>
      <c r="D310" s="13">
        <v>1</v>
      </c>
      <c r="E310" s="13">
        <f>[1]CPUs!I2729</f>
        <v>2272.9499999999998</v>
      </c>
      <c r="F310" s="13">
        <v>2629.58</v>
      </c>
      <c r="G310" s="13">
        <f t="shared" si="95"/>
        <v>2629.58</v>
      </c>
      <c r="H310" s="13">
        <v>0</v>
      </c>
      <c r="I310" s="13">
        <v>0</v>
      </c>
      <c r="J310" s="13">
        <f t="shared" si="90"/>
        <v>0</v>
      </c>
      <c r="K310" s="13">
        <f t="shared" si="91"/>
        <v>0</v>
      </c>
      <c r="L310" s="13">
        <f t="shared" si="92"/>
        <v>0</v>
      </c>
      <c r="M310" s="107">
        <f t="shared" si="93"/>
        <v>0</v>
      </c>
      <c r="N310" s="103">
        <f t="shared" si="94"/>
        <v>0</v>
      </c>
    </row>
    <row r="311" spans="1:14" ht="24.75" hidden="1" customHeight="1" x14ac:dyDescent="0.2">
      <c r="A311" s="106" t="s">
        <v>584</v>
      </c>
      <c r="B311" s="11" t="s">
        <v>585</v>
      </c>
      <c r="C311" s="12" t="s">
        <v>28</v>
      </c>
      <c r="D311" s="13">
        <v>10</v>
      </c>
      <c r="E311" s="13">
        <f>[1]CPUs!I2735</f>
        <v>5.22</v>
      </c>
      <c r="F311" s="13">
        <v>6.04</v>
      </c>
      <c r="G311" s="13">
        <f t="shared" si="95"/>
        <v>60.4</v>
      </c>
      <c r="H311" s="13">
        <v>0</v>
      </c>
      <c r="I311" s="13">
        <v>0</v>
      </c>
      <c r="J311" s="13">
        <f t="shared" si="90"/>
        <v>0</v>
      </c>
      <c r="K311" s="13">
        <f t="shared" si="91"/>
        <v>0</v>
      </c>
      <c r="L311" s="13">
        <f t="shared" si="92"/>
        <v>0</v>
      </c>
      <c r="M311" s="107">
        <f t="shared" si="93"/>
        <v>0</v>
      </c>
      <c r="N311" s="103">
        <f t="shared" si="94"/>
        <v>0</v>
      </c>
    </row>
    <row r="312" spans="1:14" ht="24.75" hidden="1" customHeight="1" x14ac:dyDescent="0.2">
      <c r="A312" s="106" t="s">
        <v>586</v>
      </c>
      <c r="B312" s="11" t="s">
        <v>587</v>
      </c>
      <c r="C312" s="12" t="s">
        <v>28</v>
      </c>
      <c r="D312" s="13">
        <v>10</v>
      </c>
      <c r="E312" s="13">
        <f>[1]CPUs!I2741</f>
        <v>6.5</v>
      </c>
      <c r="F312" s="13">
        <v>7.52</v>
      </c>
      <c r="G312" s="13">
        <f t="shared" si="95"/>
        <v>75.199999999999989</v>
      </c>
      <c r="H312" s="13">
        <v>0</v>
      </c>
      <c r="I312" s="13">
        <v>0</v>
      </c>
      <c r="J312" s="13">
        <f t="shared" si="90"/>
        <v>0</v>
      </c>
      <c r="K312" s="13">
        <f t="shared" si="91"/>
        <v>0</v>
      </c>
      <c r="L312" s="13">
        <f t="shared" si="92"/>
        <v>0</v>
      </c>
      <c r="M312" s="107">
        <f t="shared" si="93"/>
        <v>0</v>
      </c>
      <c r="N312" s="103">
        <f t="shared" si="94"/>
        <v>0</v>
      </c>
    </row>
    <row r="313" spans="1:14" ht="24.75" hidden="1" customHeight="1" x14ac:dyDescent="0.2">
      <c r="A313" s="106" t="s">
        <v>588</v>
      </c>
      <c r="B313" s="11" t="s">
        <v>589</v>
      </c>
      <c r="C313" s="12" t="s">
        <v>28</v>
      </c>
      <c r="D313" s="13">
        <v>0.1</v>
      </c>
      <c r="E313" s="13">
        <f>[1]CPUs!I2747</f>
        <v>90.31</v>
      </c>
      <c r="F313" s="13">
        <v>104.48</v>
      </c>
      <c r="G313" s="13">
        <f>(F313*D313)</f>
        <v>10.448</v>
      </c>
      <c r="H313" s="13">
        <v>0</v>
      </c>
      <c r="I313" s="13">
        <v>0</v>
      </c>
      <c r="J313" s="13">
        <f t="shared" si="90"/>
        <v>0</v>
      </c>
      <c r="K313" s="13">
        <f t="shared" si="91"/>
        <v>0</v>
      </c>
      <c r="L313" s="13">
        <f t="shared" si="92"/>
        <v>0</v>
      </c>
      <c r="M313" s="107">
        <f t="shared" si="93"/>
        <v>0</v>
      </c>
      <c r="N313" s="103">
        <f t="shared" si="94"/>
        <v>0</v>
      </c>
    </row>
    <row r="314" spans="1:14" ht="24.75" hidden="1" customHeight="1" x14ac:dyDescent="0.2">
      <c r="A314" s="106" t="s">
        <v>590</v>
      </c>
      <c r="B314" s="11" t="s">
        <v>591</v>
      </c>
      <c r="C314" s="12" t="s">
        <v>28</v>
      </c>
      <c r="D314" s="13">
        <v>10</v>
      </c>
      <c r="E314" s="13">
        <f>[1]CPUs!I2754</f>
        <v>14.2</v>
      </c>
      <c r="F314" s="13">
        <v>17.55</v>
      </c>
      <c r="G314" s="13">
        <f t="shared" si="95"/>
        <v>175.5</v>
      </c>
      <c r="H314" s="13">
        <v>0</v>
      </c>
      <c r="I314" s="13">
        <v>0</v>
      </c>
      <c r="J314" s="13">
        <f t="shared" si="90"/>
        <v>0</v>
      </c>
      <c r="K314" s="13">
        <f t="shared" si="91"/>
        <v>0</v>
      </c>
      <c r="L314" s="13">
        <f t="shared" si="92"/>
        <v>0</v>
      </c>
      <c r="M314" s="107">
        <f t="shared" si="93"/>
        <v>0</v>
      </c>
      <c r="N314" s="103">
        <f t="shared" si="94"/>
        <v>0</v>
      </c>
    </row>
    <row r="315" spans="1:14" ht="24.75" hidden="1" customHeight="1" x14ac:dyDescent="0.2">
      <c r="A315" s="108" t="s">
        <v>592</v>
      </c>
      <c r="B315" s="16" t="s">
        <v>593</v>
      </c>
      <c r="C315" s="16"/>
      <c r="D315" s="20"/>
      <c r="E315" s="19"/>
      <c r="F315" s="19"/>
      <c r="G315" s="20">
        <f>SUM(G316:G324)</f>
        <v>21635.233175100002</v>
      </c>
      <c r="H315" s="20"/>
      <c r="I315" s="19"/>
      <c r="J315" s="20"/>
      <c r="K315" s="20">
        <f>SUM(K316:K324)</f>
        <v>0</v>
      </c>
      <c r="L315" s="20">
        <f>SUM(L316:L324)</f>
        <v>0</v>
      </c>
      <c r="M315" s="109">
        <f>SUM(M316:M324)</f>
        <v>0</v>
      </c>
      <c r="N315" s="102">
        <f t="shared" si="94"/>
        <v>0</v>
      </c>
    </row>
    <row r="316" spans="1:14" ht="24.75" hidden="1" customHeight="1" x14ac:dyDescent="0.2">
      <c r="A316" s="106" t="s">
        <v>594</v>
      </c>
      <c r="B316" s="11" t="s">
        <v>595</v>
      </c>
      <c r="C316" s="12" t="s">
        <v>46</v>
      </c>
      <c r="D316" s="13">
        <v>50</v>
      </c>
      <c r="E316" s="13">
        <f>[1]CPUs!I2762</f>
        <v>59.17</v>
      </c>
      <c r="F316" s="13">
        <v>73.150000000000006</v>
      </c>
      <c r="G316" s="13">
        <f>D316*F316</f>
        <v>3657.5000000000005</v>
      </c>
      <c r="H316" s="13">
        <v>0</v>
      </c>
      <c r="I316" s="13">
        <v>0</v>
      </c>
      <c r="J316" s="13">
        <f t="shared" ref="J316:J324" si="96">H316+I316</f>
        <v>0</v>
      </c>
      <c r="K316" s="13">
        <f t="shared" ref="K316:K324" si="97">H316*F316</f>
        <v>0</v>
      </c>
      <c r="L316" s="13">
        <f t="shared" ref="L316:L324" si="98">I316*F316</f>
        <v>0</v>
      </c>
      <c r="M316" s="107">
        <f t="shared" ref="M316:M324" si="99">J316*F316</f>
        <v>0</v>
      </c>
      <c r="N316" s="103">
        <f t="shared" ref="N316:N325" si="100">M316/G316</f>
        <v>0</v>
      </c>
    </row>
    <row r="317" spans="1:14" ht="24.75" hidden="1" customHeight="1" x14ac:dyDescent="0.2">
      <c r="A317" s="106" t="s">
        <v>596</v>
      </c>
      <c r="B317" s="11" t="s">
        <v>597</v>
      </c>
      <c r="C317" s="12" t="s">
        <v>28</v>
      </c>
      <c r="D317" s="13">
        <v>4</v>
      </c>
      <c r="E317" s="13">
        <f>[1]CPUs!I2770</f>
        <v>17.71</v>
      </c>
      <c r="F317" s="13">
        <v>21.89</v>
      </c>
      <c r="G317" s="13">
        <f t="shared" ref="G317:G324" si="101">D317*F317</f>
        <v>87.56</v>
      </c>
      <c r="H317" s="13">
        <v>0</v>
      </c>
      <c r="I317" s="13">
        <v>0</v>
      </c>
      <c r="J317" s="13">
        <f t="shared" si="96"/>
        <v>0</v>
      </c>
      <c r="K317" s="13">
        <f t="shared" si="97"/>
        <v>0</v>
      </c>
      <c r="L317" s="13">
        <f t="shared" si="98"/>
        <v>0</v>
      </c>
      <c r="M317" s="107">
        <f t="shared" si="99"/>
        <v>0</v>
      </c>
      <c r="N317" s="103">
        <f t="shared" si="100"/>
        <v>0</v>
      </c>
    </row>
    <row r="318" spans="1:14" ht="24.75" hidden="1" customHeight="1" x14ac:dyDescent="0.2">
      <c r="A318" s="106" t="s">
        <v>598</v>
      </c>
      <c r="B318" s="11" t="s">
        <v>599</v>
      </c>
      <c r="C318" s="12" t="s">
        <v>28</v>
      </c>
      <c r="D318" s="13">
        <v>20</v>
      </c>
      <c r="E318" s="13">
        <f>[1]CPUs!I2778</f>
        <v>81.53</v>
      </c>
      <c r="F318" s="13">
        <v>100.79</v>
      </c>
      <c r="G318" s="13">
        <f t="shared" si="101"/>
        <v>2015.8000000000002</v>
      </c>
      <c r="H318" s="13">
        <v>0</v>
      </c>
      <c r="I318" s="13">
        <v>0</v>
      </c>
      <c r="J318" s="13">
        <f t="shared" si="96"/>
        <v>0</v>
      </c>
      <c r="K318" s="13">
        <f t="shared" si="97"/>
        <v>0</v>
      </c>
      <c r="L318" s="13">
        <f t="shared" si="98"/>
        <v>0</v>
      </c>
      <c r="M318" s="107">
        <f t="shared" si="99"/>
        <v>0</v>
      </c>
      <c r="N318" s="103">
        <f t="shared" si="100"/>
        <v>0</v>
      </c>
    </row>
    <row r="319" spans="1:14" ht="24.75" hidden="1" customHeight="1" x14ac:dyDescent="0.2">
      <c r="A319" s="106" t="s">
        <v>600</v>
      </c>
      <c r="B319" s="11" t="s">
        <v>601</v>
      </c>
      <c r="C319" s="12" t="s">
        <v>28</v>
      </c>
      <c r="D319" s="13">
        <v>20</v>
      </c>
      <c r="E319" s="13">
        <f>[1]CPUs!I2786</f>
        <v>46.02</v>
      </c>
      <c r="F319" s="13">
        <v>56.89</v>
      </c>
      <c r="G319" s="13">
        <f t="shared" si="101"/>
        <v>1137.8</v>
      </c>
      <c r="H319" s="13">
        <v>0</v>
      </c>
      <c r="I319" s="13">
        <v>0</v>
      </c>
      <c r="J319" s="13">
        <f t="shared" si="96"/>
        <v>0</v>
      </c>
      <c r="K319" s="13">
        <f t="shared" si="97"/>
        <v>0</v>
      </c>
      <c r="L319" s="13">
        <f t="shared" si="98"/>
        <v>0</v>
      </c>
      <c r="M319" s="107">
        <f t="shared" si="99"/>
        <v>0</v>
      </c>
      <c r="N319" s="103">
        <f t="shared" si="100"/>
        <v>0</v>
      </c>
    </row>
    <row r="320" spans="1:14" ht="24.75" hidden="1" customHeight="1" x14ac:dyDescent="0.2">
      <c r="A320" s="106" t="s">
        <v>602</v>
      </c>
      <c r="B320" s="11" t="s">
        <v>603</v>
      </c>
      <c r="C320" s="12" t="s">
        <v>46</v>
      </c>
      <c r="D320" s="13">
        <v>305</v>
      </c>
      <c r="E320" s="13">
        <f>[1]CPUs!I2795</f>
        <v>2.94</v>
      </c>
      <c r="F320" s="13">
        <v>3.4</v>
      </c>
      <c r="G320" s="13">
        <f t="shared" si="101"/>
        <v>1037</v>
      </c>
      <c r="H320" s="13">
        <v>0</v>
      </c>
      <c r="I320" s="13">
        <v>0</v>
      </c>
      <c r="J320" s="13">
        <f t="shared" si="96"/>
        <v>0</v>
      </c>
      <c r="K320" s="13">
        <f t="shared" si="97"/>
        <v>0</v>
      </c>
      <c r="L320" s="13">
        <f t="shared" si="98"/>
        <v>0</v>
      </c>
      <c r="M320" s="107">
        <f t="shared" si="99"/>
        <v>0</v>
      </c>
      <c r="N320" s="103">
        <f t="shared" si="100"/>
        <v>0</v>
      </c>
    </row>
    <row r="321" spans="1:14" ht="24.75" hidden="1" customHeight="1" x14ac:dyDescent="0.2">
      <c r="A321" s="106" t="s">
        <v>604</v>
      </c>
      <c r="B321" s="11" t="s">
        <v>605</v>
      </c>
      <c r="C321" s="12" t="s">
        <v>28</v>
      </c>
      <c r="D321" s="13">
        <v>20</v>
      </c>
      <c r="E321" s="13">
        <f>[1]CPUs!I2801</f>
        <v>12.83</v>
      </c>
      <c r="F321" s="13">
        <v>14.84</v>
      </c>
      <c r="G321" s="13">
        <f t="shared" si="101"/>
        <v>296.8</v>
      </c>
      <c r="H321" s="13">
        <v>0</v>
      </c>
      <c r="I321" s="13">
        <v>0</v>
      </c>
      <c r="J321" s="13">
        <f t="shared" si="96"/>
        <v>0</v>
      </c>
      <c r="K321" s="13">
        <f t="shared" si="97"/>
        <v>0</v>
      </c>
      <c r="L321" s="13">
        <f t="shared" si="98"/>
        <v>0</v>
      </c>
      <c r="M321" s="107">
        <f t="shared" si="99"/>
        <v>0</v>
      </c>
      <c r="N321" s="103">
        <f t="shared" si="100"/>
        <v>0</v>
      </c>
    </row>
    <row r="322" spans="1:14" ht="24.75" hidden="1" customHeight="1" x14ac:dyDescent="0.2">
      <c r="A322" s="106" t="s">
        <v>606</v>
      </c>
      <c r="B322" s="11" t="s">
        <v>607</v>
      </c>
      <c r="C322" s="12" t="s">
        <v>28</v>
      </c>
      <c r="D322" s="13">
        <v>1</v>
      </c>
      <c r="E322" s="13">
        <f>[1]CPUs!I2808</f>
        <v>92.13</v>
      </c>
      <c r="F322" s="13">
        <v>113.9</v>
      </c>
      <c r="G322" s="13">
        <f t="shared" si="101"/>
        <v>113.9</v>
      </c>
      <c r="H322" s="13">
        <v>0</v>
      </c>
      <c r="I322" s="13">
        <v>0</v>
      </c>
      <c r="J322" s="13">
        <f t="shared" si="96"/>
        <v>0</v>
      </c>
      <c r="K322" s="13">
        <f t="shared" si="97"/>
        <v>0</v>
      </c>
      <c r="L322" s="13">
        <f t="shared" si="98"/>
        <v>0</v>
      </c>
      <c r="M322" s="107">
        <f t="shared" si="99"/>
        <v>0</v>
      </c>
      <c r="N322" s="103">
        <f t="shared" si="100"/>
        <v>0</v>
      </c>
    </row>
    <row r="323" spans="1:14" ht="24.75" hidden="1" customHeight="1" x14ac:dyDescent="0.2">
      <c r="A323" s="106" t="s">
        <v>608</v>
      </c>
      <c r="B323" s="11" t="s">
        <v>609</v>
      </c>
      <c r="C323" s="12" t="s">
        <v>28</v>
      </c>
      <c r="D323" s="13">
        <v>1</v>
      </c>
      <c r="E323" s="13">
        <f>[1]CPUs!I2816</f>
        <v>74.23</v>
      </c>
      <c r="F323" s="13">
        <v>91.77</v>
      </c>
      <c r="G323" s="13">
        <f t="shared" si="101"/>
        <v>91.77</v>
      </c>
      <c r="H323" s="13">
        <v>0</v>
      </c>
      <c r="I323" s="13">
        <v>0</v>
      </c>
      <c r="J323" s="13">
        <f t="shared" si="96"/>
        <v>0</v>
      </c>
      <c r="K323" s="13">
        <f t="shared" si="97"/>
        <v>0</v>
      </c>
      <c r="L323" s="13">
        <f t="shared" si="98"/>
        <v>0</v>
      </c>
      <c r="M323" s="107">
        <f t="shared" si="99"/>
        <v>0</v>
      </c>
      <c r="N323" s="103">
        <f t="shared" si="100"/>
        <v>0</v>
      </c>
    </row>
    <row r="324" spans="1:14" ht="24.75" hidden="1" customHeight="1" x14ac:dyDescent="0.2">
      <c r="A324" s="106" t="s">
        <v>610</v>
      </c>
      <c r="B324" s="11" t="s">
        <v>611</v>
      </c>
      <c r="C324" s="12" t="s">
        <v>46</v>
      </c>
      <c r="D324" s="13">
        <v>100</v>
      </c>
      <c r="E324" s="13">
        <f>[1]CPUs!I2824</f>
        <v>106.74677000000001</v>
      </c>
      <c r="F324" s="13">
        <v>131.97103175100003</v>
      </c>
      <c r="G324" s="13">
        <f t="shared" si="101"/>
        <v>13197.103175100003</v>
      </c>
      <c r="H324" s="13">
        <v>0</v>
      </c>
      <c r="I324" s="13">
        <v>0</v>
      </c>
      <c r="J324" s="13">
        <f t="shared" si="96"/>
        <v>0</v>
      </c>
      <c r="K324" s="13">
        <f t="shared" si="97"/>
        <v>0</v>
      </c>
      <c r="L324" s="13">
        <f t="shared" si="98"/>
        <v>0</v>
      </c>
      <c r="M324" s="107">
        <f t="shared" si="99"/>
        <v>0</v>
      </c>
      <c r="N324" s="103">
        <f t="shared" si="100"/>
        <v>0</v>
      </c>
    </row>
    <row r="325" spans="1:14" ht="24.75" customHeight="1" x14ac:dyDescent="0.2">
      <c r="A325" s="108" t="s">
        <v>612</v>
      </c>
      <c r="B325" s="16" t="s">
        <v>613</v>
      </c>
      <c r="C325" s="16"/>
      <c r="D325" s="20"/>
      <c r="E325" s="19"/>
      <c r="F325" s="19"/>
      <c r="G325" s="20">
        <f>SUM(G326:G339)</f>
        <v>173714.43913763418</v>
      </c>
      <c r="H325" s="20"/>
      <c r="I325" s="20"/>
      <c r="J325" s="20"/>
      <c r="K325" s="20">
        <f>SUM(K326:K339)</f>
        <v>10193.132938559998</v>
      </c>
      <c r="L325" s="20">
        <f>SUM(L326:L339)</f>
        <v>44861.452084936958</v>
      </c>
      <c r="M325" s="109">
        <f>SUM(M326:M339)</f>
        <v>55054.585023496962</v>
      </c>
      <c r="N325" s="102">
        <f t="shared" si="100"/>
        <v>0.31692578519553655</v>
      </c>
    </row>
    <row r="326" spans="1:14" ht="24.75" hidden="1" customHeight="1" x14ac:dyDescent="0.2">
      <c r="A326" s="106" t="s">
        <v>614</v>
      </c>
      <c r="B326" s="11" t="s">
        <v>615</v>
      </c>
      <c r="C326" s="12" t="s">
        <v>46</v>
      </c>
      <c r="D326" s="13">
        <v>12.9</v>
      </c>
      <c r="E326" s="13">
        <f>[1]CPUs!I2832</f>
        <v>77.61</v>
      </c>
      <c r="F326" s="13">
        <v>95.94</v>
      </c>
      <c r="G326" s="13">
        <f>(F326*D326)</f>
        <v>1237.626</v>
      </c>
      <c r="H326" s="13">
        <v>0</v>
      </c>
      <c r="I326" s="13">
        <v>0</v>
      </c>
      <c r="J326" s="13">
        <f t="shared" ref="J326:J339" si="102">H326+I326</f>
        <v>0</v>
      </c>
      <c r="K326" s="13">
        <f t="shared" ref="K326:K339" si="103">H326*F326</f>
        <v>0</v>
      </c>
      <c r="L326" s="13">
        <f t="shared" ref="L326:L339" si="104">I326*F326</f>
        <v>0</v>
      </c>
      <c r="M326" s="107">
        <f t="shared" ref="M326:M339" si="105">J326*F326</f>
        <v>0</v>
      </c>
      <c r="N326" s="103">
        <f t="shared" ref="N326:N340" si="106">M326/G326</f>
        <v>0</v>
      </c>
    </row>
    <row r="327" spans="1:14" ht="24.75" hidden="1" customHeight="1" x14ac:dyDescent="0.2">
      <c r="A327" s="106" t="s">
        <v>616</v>
      </c>
      <c r="B327" s="11" t="s">
        <v>617</v>
      </c>
      <c r="C327" s="12" t="s">
        <v>46</v>
      </c>
      <c r="D327" s="13">
        <v>15.4</v>
      </c>
      <c r="E327" s="13">
        <f>[1]CPUs!I2840</f>
        <v>38.29</v>
      </c>
      <c r="F327" s="13">
        <v>47.33</v>
      </c>
      <c r="G327" s="13">
        <f t="shared" ref="G327:G339" si="107">D327*F327</f>
        <v>728.88199999999995</v>
      </c>
      <c r="H327" s="13">
        <v>0</v>
      </c>
      <c r="I327" s="13">
        <v>0</v>
      </c>
      <c r="J327" s="13">
        <f t="shared" si="102"/>
        <v>0</v>
      </c>
      <c r="K327" s="13">
        <f t="shared" si="103"/>
        <v>0</v>
      </c>
      <c r="L327" s="13">
        <f t="shared" si="104"/>
        <v>0</v>
      </c>
      <c r="M327" s="107">
        <f t="shared" si="105"/>
        <v>0</v>
      </c>
      <c r="N327" s="103">
        <f t="shared" si="106"/>
        <v>0</v>
      </c>
    </row>
    <row r="328" spans="1:14" ht="24.75" customHeight="1" x14ac:dyDescent="0.2">
      <c r="A328" s="106" t="s">
        <v>618</v>
      </c>
      <c r="B328" s="11" t="s">
        <v>619</v>
      </c>
      <c r="C328" s="12" t="s">
        <v>46</v>
      </c>
      <c r="D328" s="13">
        <v>19.5</v>
      </c>
      <c r="E328" s="13">
        <f>[1]CPUs!I2848</f>
        <v>58.06</v>
      </c>
      <c r="F328" s="13">
        <v>71.77</v>
      </c>
      <c r="G328" s="13">
        <f>(F328*D328)</f>
        <v>1399.5149999999999</v>
      </c>
      <c r="H328" s="13">
        <v>19.5</v>
      </c>
      <c r="I328" s="13">
        <v>0</v>
      </c>
      <c r="J328" s="13">
        <f t="shared" si="102"/>
        <v>19.5</v>
      </c>
      <c r="K328" s="13">
        <f t="shared" si="103"/>
        <v>1399.5149999999999</v>
      </c>
      <c r="L328" s="13">
        <f t="shared" si="104"/>
        <v>0</v>
      </c>
      <c r="M328" s="107">
        <f t="shared" si="105"/>
        <v>1399.5149999999999</v>
      </c>
      <c r="N328" s="103">
        <f t="shared" si="106"/>
        <v>1</v>
      </c>
    </row>
    <row r="329" spans="1:14" ht="24.75" hidden="1" customHeight="1" x14ac:dyDescent="0.2">
      <c r="A329" s="106" t="s">
        <v>620</v>
      </c>
      <c r="B329" s="11" t="s">
        <v>621</v>
      </c>
      <c r="C329" s="12" t="s">
        <v>46</v>
      </c>
      <c r="D329" s="13">
        <v>13.8</v>
      </c>
      <c r="E329" s="13">
        <f>[1]CPUs!I2856</f>
        <v>77.61</v>
      </c>
      <c r="F329" s="13">
        <v>95.94</v>
      </c>
      <c r="G329" s="13">
        <f t="shared" si="107"/>
        <v>1323.972</v>
      </c>
      <c r="H329" s="13">
        <v>0</v>
      </c>
      <c r="I329" s="13">
        <v>0</v>
      </c>
      <c r="J329" s="13">
        <f t="shared" si="102"/>
        <v>0</v>
      </c>
      <c r="K329" s="13">
        <f t="shared" si="103"/>
        <v>0</v>
      </c>
      <c r="L329" s="13">
        <f t="shared" si="104"/>
        <v>0</v>
      </c>
      <c r="M329" s="107">
        <f t="shared" si="105"/>
        <v>0</v>
      </c>
      <c r="N329" s="103">
        <f t="shared" si="106"/>
        <v>0</v>
      </c>
    </row>
    <row r="330" spans="1:14" ht="24.75" hidden="1" customHeight="1" x14ac:dyDescent="0.2">
      <c r="A330" s="106" t="s">
        <v>622</v>
      </c>
      <c r="B330" s="11" t="s">
        <v>623</v>
      </c>
      <c r="C330" s="12" t="s">
        <v>46</v>
      </c>
      <c r="D330" s="13">
        <v>78.3</v>
      </c>
      <c r="E330" s="13">
        <f>[1]CPUs!I2864</f>
        <v>53.175640000000001</v>
      </c>
      <c r="F330" s="13">
        <v>65.741043732000009</v>
      </c>
      <c r="G330" s="13">
        <f t="shared" si="107"/>
        <v>5147.5237242156009</v>
      </c>
      <c r="H330" s="13">
        <v>0</v>
      </c>
      <c r="I330" s="13">
        <v>0</v>
      </c>
      <c r="J330" s="13">
        <f t="shared" si="102"/>
        <v>0</v>
      </c>
      <c r="K330" s="13">
        <f t="shared" si="103"/>
        <v>0</v>
      </c>
      <c r="L330" s="13">
        <f t="shared" si="104"/>
        <v>0</v>
      </c>
      <c r="M330" s="107">
        <f t="shared" si="105"/>
        <v>0</v>
      </c>
      <c r="N330" s="103">
        <f t="shared" si="106"/>
        <v>0</v>
      </c>
    </row>
    <row r="331" spans="1:14" ht="24.75" hidden="1" customHeight="1" x14ac:dyDescent="0.2">
      <c r="A331" s="106" t="s">
        <v>624</v>
      </c>
      <c r="B331" s="11" t="s">
        <v>625</v>
      </c>
      <c r="C331" s="12" t="s">
        <v>46</v>
      </c>
      <c r="D331" s="13">
        <v>17.600000000000001</v>
      </c>
      <c r="E331" s="13">
        <f>[1]CPUs!I2872</f>
        <v>97.66</v>
      </c>
      <c r="F331" s="13">
        <v>120.73</v>
      </c>
      <c r="G331" s="13">
        <f>(F331*D331)</f>
        <v>2124.8480000000004</v>
      </c>
      <c r="H331" s="13">
        <v>0</v>
      </c>
      <c r="I331" s="13">
        <v>0</v>
      </c>
      <c r="J331" s="13">
        <f t="shared" si="102"/>
        <v>0</v>
      </c>
      <c r="K331" s="13">
        <f t="shared" si="103"/>
        <v>0</v>
      </c>
      <c r="L331" s="13">
        <f t="shared" si="104"/>
        <v>0</v>
      </c>
      <c r="M331" s="107">
        <f t="shared" si="105"/>
        <v>0</v>
      </c>
      <c r="N331" s="103">
        <f t="shared" si="106"/>
        <v>0</v>
      </c>
    </row>
    <row r="332" spans="1:14" ht="24.75" customHeight="1" x14ac:dyDescent="0.2">
      <c r="A332" s="106" t="s">
        <v>626</v>
      </c>
      <c r="B332" s="11" t="s">
        <v>627</v>
      </c>
      <c r="C332" s="12" t="s">
        <v>46</v>
      </c>
      <c r="D332" s="13">
        <v>10.3</v>
      </c>
      <c r="E332" s="13">
        <f>[1]CPUs!I2880</f>
        <v>116.66</v>
      </c>
      <c r="F332" s="13">
        <v>144.22</v>
      </c>
      <c r="G332" s="13">
        <f>(F332*D332)</f>
        <v>1485.4660000000001</v>
      </c>
      <c r="H332" s="13">
        <v>0</v>
      </c>
      <c r="I332" s="13">
        <v>10.3</v>
      </c>
      <c r="J332" s="13">
        <f t="shared" si="102"/>
        <v>10.3</v>
      </c>
      <c r="K332" s="13">
        <f t="shared" si="103"/>
        <v>0</v>
      </c>
      <c r="L332" s="13">
        <f t="shared" si="104"/>
        <v>1485.4660000000001</v>
      </c>
      <c r="M332" s="107">
        <f t="shared" si="105"/>
        <v>1485.4660000000001</v>
      </c>
      <c r="N332" s="103">
        <f t="shared" si="106"/>
        <v>1</v>
      </c>
    </row>
    <row r="333" spans="1:14" ht="24.75" hidden="1" customHeight="1" x14ac:dyDescent="0.2">
      <c r="A333" s="106" t="s">
        <v>628</v>
      </c>
      <c r="B333" s="11" t="s">
        <v>629</v>
      </c>
      <c r="C333" s="12" t="s">
        <v>46</v>
      </c>
      <c r="D333" s="13">
        <v>11.8</v>
      </c>
      <c r="E333" s="13">
        <f>[1]CPUs!I2888</f>
        <v>86.1</v>
      </c>
      <c r="F333" s="13">
        <v>106.44</v>
      </c>
      <c r="G333" s="13">
        <f t="shared" si="107"/>
        <v>1255.992</v>
      </c>
      <c r="H333" s="13">
        <v>0</v>
      </c>
      <c r="I333" s="13">
        <v>0</v>
      </c>
      <c r="J333" s="13">
        <f t="shared" si="102"/>
        <v>0</v>
      </c>
      <c r="K333" s="13">
        <f t="shared" si="103"/>
        <v>0</v>
      </c>
      <c r="L333" s="13">
        <f t="shared" si="104"/>
        <v>0</v>
      </c>
      <c r="M333" s="107">
        <f t="shared" si="105"/>
        <v>0</v>
      </c>
      <c r="N333" s="103">
        <f t="shared" si="106"/>
        <v>0</v>
      </c>
    </row>
    <row r="334" spans="1:14" ht="24.75" hidden="1" customHeight="1" x14ac:dyDescent="0.2">
      <c r="A334" s="106" t="s">
        <v>630</v>
      </c>
      <c r="B334" s="11" t="s">
        <v>631</v>
      </c>
      <c r="C334" s="12" t="s">
        <v>46</v>
      </c>
      <c r="D334" s="13">
        <v>84.8</v>
      </c>
      <c r="E334" s="13">
        <f>[1]CPUs!I2896</f>
        <v>118.35817999999999</v>
      </c>
      <c r="F334" s="13">
        <v>146.326217934</v>
      </c>
      <c r="G334" s="13">
        <f t="shared" si="107"/>
        <v>12408.4632808032</v>
      </c>
      <c r="H334" s="13">
        <v>0</v>
      </c>
      <c r="I334" s="13">
        <v>0</v>
      </c>
      <c r="J334" s="13">
        <f t="shared" si="102"/>
        <v>0</v>
      </c>
      <c r="K334" s="13">
        <f t="shared" si="103"/>
        <v>0</v>
      </c>
      <c r="L334" s="13">
        <f t="shared" si="104"/>
        <v>0</v>
      </c>
      <c r="M334" s="107">
        <f t="shared" si="105"/>
        <v>0</v>
      </c>
      <c r="N334" s="103">
        <f t="shared" si="106"/>
        <v>0</v>
      </c>
    </row>
    <row r="335" spans="1:14" ht="24.75" hidden="1" customHeight="1" x14ac:dyDescent="0.2">
      <c r="A335" s="106" t="s">
        <v>632</v>
      </c>
      <c r="B335" s="11" t="s">
        <v>633</v>
      </c>
      <c r="C335" s="12" t="s">
        <v>46</v>
      </c>
      <c r="D335" s="13">
        <v>58.5</v>
      </c>
      <c r="E335" s="13">
        <f>[1]CPUs!I2904</f>
        <v>42.957740000000001</v>
      </c>
      <c r="F335" s="13">
        <v>53.108653962000005</v>
      </c>
      <c r="G335" s="13">
        <f>(F335*D335)</f>
        <v>3106.8562567770005</v>
      </c>
      <c r="H335" s="13">
        <v>0</v>
      </c>
      <c r="I335" s="13">
        <v>0</v>
      </c>
      <c r="J335" s="13">
        <f t="shared" si="102"/>
        <v>0</v>
      </c>
      <c r="K335" s="13">
        <f t="shared" si="103"/>
        <v>0</v>
      </c>
      <c r="L335" s="13">
        <f t="shared" si="104"/>
        <v>0</v>
      </c>
      <c r="M335" s="107">
        <f t="shared" si="105"/>
        <v>0</v>
      </c>
      <c r="N335" s="103">
        <f t="shared" si="106"/>
        <v>0</v>
      </c>
    </row>
    <row r="336" spans="1:14" ht="24.75" hidden="1" customHeight="1" x14ac:dyDescent="0.2">
      <c r="A336" s="106" t="s">
        <v>634</v>
      </c>
      <c r="B336" s="11" t="s">
        <v>635</v>
      </c>
      <c r="C336" s="12" t="s">
        <v>46</v>
      </c>
      <c r="D336" s="13">
        <v>38</v>
      </c>
      <c r="E336" s="13">
        <f>[1]CPUs!I2912</f>
        <v>49.756839999999997</v>
      </c>
      <c r="F336" s="13">
        <v>61.514381291999996</v>
      </c>
      <c r="G336" s="13">
        <f>(F336*D336)</f>
        <v>2337.5464890959997</v>
      </c>
      <c r="H336" s="13">
        <v>0</v>
      </c>
      <c r="I336" s="13">
        <v>0</v>
      </c>
      <c r="J336" s="13">
        <f t="shared" si="102"/>
        <v>0</v>
      </c>
      <c r="K336" s="13">
        <f t="shared" si="103"/>
        <v>0</v>
      </c>
      <c r="L336" s="13">
        <f t="shared" si="104"/>
        <v>0</v>
      </c>
      <c r="M336" s="107">
        <f t="shared" si="105"/>
        <v>0</v>
      </c>
      <c r="N336" s="103">
        <f t="shared" si="106"/>
        <v>0</v>
      </c>
    </row>
    <row r="337" spans="1:14" ht="24.75" customHeight="1" x14ac:dyDescent="0.2">
      <c r="A337" s="106" t="s">
        <v>636</v>
      </c>
      <c r="B337" s="11" t="s">
        <v>637</v>
      </c>
      <c r="C337" s="12" t="s">
        <v>46</v>
      </c>
      <c r="D337" s="13">
        <v>2669.7</v>
      </c>
      <c r="E337" s="13">
        <f>[1]CPUs!I2920</f>
        <v>39.515839999999997</v>
      </c>
      <c r="F337" s="13">
        <v>48.853432991999995</v>
      </c>
      <c r="G337" s="13">
        <f t="shared" si="107"/>
        <v>130424.01005874238</v>
      </c>
      <c r="H337" s="13">
        <v>180</v>
      </c>
      <c r="I337" s="13">
        <v>887.88</v>
      </c>
      <c r="J337" s="13">
        <f t="shared" si="102"/>
        <v>1067.8800000000001</v>
      </c>
      <c r="K337" s="13">
        <f t="shared" si="103"/>
        <v>8793.6179385599989</v>
      </c>
      <c r="L337" s="13">
        <f t="shared" si="104"/>
        <v>43375.986084936958</v>
      </c>
      <c r="M337" s="107">
        <f t="shared" si="105"/>
        <v>52169.604023496962</v>
      </c>
      <c r="N337" s="103">
        <f t="shared" si="106"/>
        <v>0.40000000000000008</v>
      </c>
    </row>
    <row r="338" spans="1:14" ht="24.75" hidden="1" customHeight="1" x14ac:dyDescent="0.2">
      <c r="A338" s="106" t="s">
        <v>638</v>
      </c>
      <c r="B338" s="11" t="s">
        <v>639</v>
      </c>
      <c r="C338" s="12" t="s">
        <v>46</v>
      </c>
      <c r="D338" s="13">
        <v>350</v>
      </c>
      <c r="E338" s="13">
        <f>[1]CPUs!I2928</f>
        <v>21.201599999999999</v>
      </c>
      <c r="F338" s="13">
        <v>26.21153808</v>
      </c>
      <c r="G338" s="13">
        <f>(F338*D338)</f>
        <v>9174.0383280000005</v>
      </c>
      <c r="H338" s="13">
        <v>0</v>
      </c>
      <c r="I338" s="13">
        <v>0</v>
      </c>
      <c r="J338" s="13">
        <f t="shared" si="102"/>
        <v>0</v>
      </c>
      <c r="K338" s="13">
        <f t="shared" si="103"/>
        <v>0</v>
      </c>
      <c r="L338" s="13">
        <f t="shared" si="104"/>
        <v>0</v>
      </c>
      <c r="M338" s="107">
        <f t="shared" si="105"/>
        <v>0</v>
      </c>
      <c r="N338" s="103">
        <f t="shared" si="106"/>
        <v>0</v>
      </c>
    </row>
    <row r="339" spans="1:14" ht="24.75" hidden="1" customHeight="1" x14ac:dyDescent="0.2">
      <c r="A339" s="106" t="s">
        <v>640</v>
      </c>
      <c r="B339" s="11" t="s">
        <v>641</v>
      </c>
      <c r="C339" s="12" t="s">
        <v>46</v>
      </c>
      <c r="D339" s="13">
        <v>45</v>
      </c>
      <c r="E339" s="13">
        <f>[1]CPUs!I2936</f>
        <v>28.04</v>
      </c>
      <c r="F339" s="13">
        <v>34.659999999999997</v>
      </c>
      <c r="G339" s="13">
        <f t="shared" si="107"/>
        <v>1559.6999999999998</v>
      </c>
      <c r="H339" s="13">
        <v>0</v>
      </c>
      <c r="I339" s="13">
        <v>0</v>
      </c>
      <c r="J339" s="13">
        <f t="shared" si="102"/>
        <v>0</v>
      </c>
      <c r="K339" s="13">
        <f t="shared" si="103"/>
        <v>0</v>
      </c>
      <c r="L339" s="13">
        <f t="shared" si="104"/>
        <v>0</v>
      </c>
      <c r="M339" s="107">
        <f t="shared" si="105"/>
        <v>0</v>
      </c>
      <c r="N339" s="103">
        <f t="shared" si="106"/>
        <v>0</v>
      </c>
    </row>
    <row r="340" spans="1:14" ht="24.75" customHeight="1" x14ac:dyDescent="0.2">
      <c r="A340" s="108" t="s">
        <v>642</v>
      </c>
      <c r="B340" s="16" t="s">
        <v>643</v>
      </c>
      <c r="C340" s="16"/>
      <c r="D340" s="20"/>
      <c r="E340" s="19"/>
      <c r="F340" s="19"/>
      <c r="G340" s="20">
        <f>SUM(G341:G344)</f>
        <v>611907.29</v>
      </c>
      <c r="H340" s="20"/>
      <c r="I340" s="19"/>
      <c r="J340" s="20"/>
      <c r="K340" s="20">
        <f>SUM(K341:K344)</f>
        <v>510717.60499999998</v>
      </c>
      <c r="L340" s="20">
        <f>SUM(L341:L344)</f>
        <v>0</v>
      </c>
      <c r="M340" s="109">
        <f>SUM(M341:M344)</f>
        <v>510717.60499999998</v>
      </c>
      <c r="N340" s="102">
        <f t="shared" si="106"/>
        <v>0.83463232641010032</v>
      </c>
    </row>
    <row r="341" spans="1:14" ht="48" customHeight="1" x14ac:dyDescent="0.2">
      <c r="A341" s="106" t="s">
        <v>644</v>
      </c>
      <c r="B341" s="11" t="s">
        <v>645</v>
      </c>
      <c r="C341" s="12" t="s">
        <v>28</v>
      </c>
      <c r="D341" s="13">
        <v>1</v>
      </c>
      <c r="E341" s="13">
        <f>[1]CPUs!I2943</f>
        <v>156391.79679999998</v>
      </c>
      <c r="F341" s="13">
        <v>180929.67</v>
      </c>
      <c r="G341" s="13">
        <f>D341*F341</f>
        <v>180929.67</v>
      </c>
      <c r="H341" s="13">
        <v>0.5</v>
      </c>
      <c r="I341" s="13">
        <v>0</v>
      </c>
      <c r="J341" s="13">
        <f>H341+I341</f>
        <v>0.5</v>
      </c>
      <c r="K341" s="13">
        <f>H341*F341</f>
        <v>90464.835000000006</v>
      </c>
      <c r="L341" s="13">
        <f>I341*F341</f>
        <v>0</v>
      </c>
      <c r="M341" s="107">
        <f>J341*F341</f>
        <v>90464.835000000006</v>
      </c>
      <c r="N341" s="103">
        <f>M341/G341</f>
        <v>0.5</v>
      </c>
    </row>
    <row r="342" spans="1:14" ht="44.25" customHeight="1" x14ac:dyDescent="0.2">
      <c r="A342" s="106" t="s">
        <v>646</v>
      </c>
      <c r="B342" s="11" t="s">
        <v>647</v>
      </c>
      <c r="C342" s="12" t="s">
        <v>28</v>
      </c>
      <c r="D342" s="13">
        <v>1</v>
      </c>
      <c r="E342" s="13">
        <f>[1]CPUs!I2949</f>
        <v>54741.196399999993</v>
      </c>
      <c r="F342" s="13">
        <v>63330.09</v>
      </c>
      <c r="G342" s="13">
        <f>D342*F342</f>
        <v>63330.09</v>
      </c>
      <c r="H342" s="13">
        <v>1</v>
      </c>
      <c r="I342" s="13">
        <v>0</v>
      </c>
      <c r="J342" s="13">
        <f>H342+I342</f>
        <v>1</v>
      </c>
      <c r="K342" s="13">
        <f>H342*F342</f>
        <v>63330.09</v>
      </c>
      <c r="L342" s="13">
        <f>I342*F342</f>
        <v>0</v>
      </c>
      <c r="M342" s="107">
        <f>J342*F342</f>
        <v>63330.09</v>
      </c>
      <c r="N342" s="103">
        <f>M342/G342</f>
        <v>1</v>
      </c>
    </row>
    <row r="343" spans="1:14" ht="24.75" hidden="1" customHeight="1" x14ac:dyDescent="0.2">
      <c r="A343" s="106" t="s">
        <v>648</v>
      </c>
      <c r="B343" s="11" t="s">
        <v>649</v>
      </c>
      <c r="C343" s="12" t="s">
        <v>28</v>
      </c>
      <c r="D343" s="13">
        <v>1</v>
      </c>
      <c r="E343" s="13">
        <f>[1]CPUs!I2955</f>
        <v>8674.9599999999991</v>
      </c>
      <c r="F343" s="13">
        <v>10724.85</v>
      </c>
      <c r="G343" s="13">
        <f>D343*F343</f>
        <v>10724.85</v>
      </c>
      <c r="H343" s="13">
        <v>0</v>
      </c>
      <c r="I343" s="13">
        <v>0</v>
      </c>
      <c r="J343" s="13">
        <f>H343+I343</f>
        <v>0</v>
      </c>
      <c r="K343" s="13">
        <f>H343*F343</f>
        <v>0</v>
      </c>
      <c r="L343" s="13">
        <f>I343*F343</f>
        <v>0</v>
      </c>
      <c r="M343" s="107">
        <f>J343*F343</f>
        <v>0</v>
      </c>
      <c r="N343" s="103">
        <f>M343/G343</f>
        <v>0</v>
      </c>
    </row>
    <row r="344" spans="1:14" ht="54" customHeight="1" x14ac:dyDescent="0.2">
      <c r="A344" s="106" t="s">
        <v>650</v>
      </c>
      <c r="B344" s="11" t="s">
        <v>651</v>
      </c>
      <c r="C344" s="12" t="s">
        <v>28</v>
      </c>
      <c r="D344" s="13">
        <v>2</v>
      </c>
      <c r="E344" s="13">
        <f>[1]CPUs!I2962</f>
        <v>154258.226</v>
      </c>
      <c r="F344" s="13">
        <v>178461.34</v>
      </c>
      <c r="G344" s="13">
        <f>D344*F344</f>
        <v>356922.68</v>
      </c>
      <c r="H344" s="13">
        <v>2</v>
      </c>
      <c r="I344" s="13">
        <v>0</v>
      </c>
      <c r="J344" s="13">
        <f>H344+I344</f>
        <v>2</v>
      </c>
      <c r="K344" s="13">
        <f>H344*F344</f>
        <v>356922.68</v>
      </c>
      <c r="L344" s="13">
        <f>I344*F344</f>
        <v>0</v>
      </c>
      <c r="M344" s="107">
        <f>J344*F344</f>
        <v>356922.68</v>
      </c>
      <c r="N344" s="103">
        <f>M344/G344</f>
        <v>1</v>
      </c>
    </row>
    <row r="345" spans="1:14" ht="24.75" customHeight="1" x14ac:dyDescent="0.2">
      <c r="A345" s="108" t="s">
        <v>652</v>
      </c>
      <c r="B345" s="16" t="s">
        <v>653</v>
      </c>
      <c r="C345" s="16"/>
      <c r="D345" s="20"/>
      <c r="E345" s="19"/>
      <c r="F345" s="19"/>
      <c r="G345" s="20">
        <f>SUM(G346:G364)</f>
        <v>177281.32664636854</v>
      </c>
      <c r="H345" s="20"/>
      <c r="I345" s="19"/>
      <c r="J345" s="20"/>
      <c r="K345" s="20">
        <f>SUM(K346:K364)</f>
        <v>28874.0709630766</v>
      </c>
      <c r="L345" s="20">
        <f>SUM(L346:L364)</f>
        <v>8311.5885247200004</v>
      </c>
      <c r="M345" s="109">
        <f>SUM(M346:M364)</f>
        <v>37185.659487796598</v>
      </c>
      <c r="N345" s="102">
        <f>M345/G345</f>
        <v>0.2097550835795165</v>
      </c>
    </row>
    <row r="346" spans="1:14" ht="46.5" customHeight="1" x14ac:dyDescent="0.2">
      <c r="A346" s="106" t="s">
        <v>654</v>
      </c>
      <c r="B346" s="11" t="s">
        <v>655</v>
      </c>
      <c r="C346" s="12" t="s">
        <v>46</v>
      </c>
      <c r="D346" s="13">
        <v>210.14</v>
      </c>
      <c r="E346" s="13">
        <f>[1]CPUs!I2976</f>
        <v>79.788006999999993</v>
      </c>
      <c r="F346" s="13">
        <v>98.641913054099987</v>
      </c>
      <c r="G346" s="13">
        <f>D346*F346</f>
        <v>20728.611609188571</v>
      </c>
      <c r="H346" s="13">
        <v>126</v>
      </c>
      <c r="I346" s="13">
        <v>0</v>
      </c>
      <c r="J346" s="13">
        <f t="shared" ref="J346:J364" si="108">H346+I346</f>
        <v>126</v>
      </c>
      <c r="K346" s="13">
        <f t="shared" ref="K346:K364" si="109">H346*F346</f>
        <v>12428.881044816599</v>
      </c>
      <c r="L346" s="13">
        <f t="shared" ref="L346:L364" si="110">I346*F346</f>
        <v>0</v>
      </c>
      <c r="M346" s="107">
        <f t="shared" ref="M346:M364" si="111">J346*F346</f>
        <v>12428.881044816599</v>
      </c>
      <c r="N346" s="103">
        <f t="shared" ref="N346:N365" si="112">M346/G346</f>
        <v>0.59960026648900733</v>
      </c>
    </row>
    <row r="347" spans="1:14" ht="43.5" customHeight="1" x14ac:dyDescent="0.2">
      <c r="A347" s="106" t="s">
        <v>656</v>
      </c>
      <c r="B347" s="11" t="s">
        <v>657</v>
      </c>
      <c r="C347" s="12" t="s">
        <v>28</v>
      </c>
      <c r="D347" s="13">
        <v>39</v>
      </c>
      <c r="E347" s="13">
        <f>[1]CPUs!I2984</f>
        <v>117.78</v>
      </c>
      <c r="F347" s="13">
        <v>145.61000000000001</v>
      </c>
      <c r="G347" s="13">
        <f t="shared" ref="G347:G364" si="113">D347*F347</f>
        <v>5678.7900000000009</v>
      </c>
      <c r="H347" s="13">
        <v>5</v>
      </c>
      <c r="I347" s="13">
        <v>0</v>
      </c>
      <c r="J347" s="13">
        <f t="shared" si="108"/>
        <v>5</v>
      </c>
      <c r="K347" s="13">
        <f t="shared" si="109"/>
        <v>728.05000000000007</v>
      </c>
      <c r="L347" s="13">
        <f t="shared" si="110"/>
        <v>0</v>
      </c>
      <c r="M347" s="107">
        <f t="shared" si="111"/>
        <v>728.05000000000007</v>
      </c>
      <c r="N347" s="103">
        <f t="shared" si="112"/>
        <v>0.12820512820512819</v>
      </c>
    </row>
    <row r="348" spans="1:14" ht="60" customHeight="1" x14ac:dyDescent="0.2">
      <c r="A348" s="106" t="s">
        <v>658</v>
      </c>
      <c r="B348" s="11" t="s">
        <v>659</v>
      </c>
      <c r="C348" s="12" t="s">
        <v>28</v>
      </c>
      <c r="D348" s="13">
        <v>9</v>
      </c>
      <c r="E348" s="13">
        <f>[1]CPUs!I2994</f>
        <v>157.97999999999999</v>
      </c>
      <c r="F348" s="13">
        <v>195.31</v>
      </c>
      <c r="G348" s="13">
        <f t="shared" si="113"/>
        <v>1757.79</v>
      </c>
      <c r="H348" s="13">
        <v>6</v>
      </c>
      <c r="I348" s="13">
        <v>0</v>
      </c>
      <c r="J348" s="13">
        <f t="shared" si="108"/>
        <v>6</v>
      </c>
      <c r="K348" s="13">
        <f t="shared" si="109"/>
        <v>1171.8600000000001</v>
      </c>
      <c r="L348" s="13">
        <f t="shared" si="110"/>
        <v>0</v>
      </c>
      <c r="M348" s="107">
        <f t="shared" si="111"/>
        <v>1171.8600000000001</v>
      </c>
      <c r="N348" s="103">
        <f t="shared" si="112"/>
        <v>0.66666666666666674</v>
      </c>
    </row>
    <row r="349" spans="1:14" ht="60.75" customHeight="1" x14ac:dyDescent="0.2">
      <c r="A349" s="106" t="s">
        <v>660</v>
      </c>
      <c r="B349" s="11" t="s">
        <v>661</v>
      </c>
      <c r="C349" s="12" t="s">
        <v>28</v>
      </c>
      <c r="D349" s="13">
        <v>11</v>
      </c>
      <c r="E349" s="13">
        <f>[1]CPUs!I3004</f>
        <v>1680.7386000000001</v>
      </c>
      <c r="F349" s="13">
        <v>2077.8971311800001</v>
      </c>
      <c r="G349" s="13">
        <f>(F349*D349)</f>
        <v>22856.868442980001</v>
      </c>
      <c r="H349" s="13">
        <v>7</v>
      </c>
      <c r="I349" s="13">
        <v>4</v>
      </c>
      <c r="J349" s="13">
        <f t="shared" si="108"/>
        <v>11</v>
      </c>
      <c r="K349" s="13">
        <f t="shared" si="109"/>
        <v>14545.279918260001</v>
      </c>
      <c r="L349" s="13">
        <f t="shared" si="110"/>
        <v>8311.5885247200004</v>
      </c>
      <c r="M349" s="107">
        <f t="shared" si="111"/>
        <v>22856.868442980001</v>
      </c>
      <c r="N349" s="103">
        <f t="shared" si="112"/>
        <v>1</v>
      </c>
    </row>
    <row r="350" spans="1:14" ht="24.75" hidden="1" customHeight="1" x14ac:dyDescent="0.2">
      <c r="A350" s="106" t="s">
        <v>662</v>
      </c>
      <c r="B350" s="11" t="s">
        <v>663</v>
      </c>
      <c r="C350" s="12" t="s">
        <v>28</v>
      </c>
      <c r="D350" s="13">
        <v>1</v>
      </c>
      <c r="E350" s="13">
        <f>[1]CPUs!I3018</f>
        <v>217.65</v>
      </c>
      <c r="F350" s="13">
        <v>269.08</v>
      </c>
      <c r="G350" s="13">
        <f t="shared" si="113"/>
        <v>269.08</v>
      </c>
      <c r="H350" s="13">
        <v>0</v>
      </c>
      <c r="I350" s="13">
        <v>0</v>
      </c>
      <c r="J350" s="13">
        <f t="shared" si="108"/>
        <v>0</v>
      </c>
      <c r="K350" s="13">
        <f t="shared" si="109"/>
        <v>0</v>
      </c>
      <c r="L350" s="13">
        <f t="shared" si="110"/>
        <v>0</v>
      </c>
      <c r="M350" s="107">
        <f t="shared" si="111"/>
        <v>0</v>
      </c>
      <c r="N350" s="103">
        <f t="shared" si="112"/>
        <v>0</v>
      </c>
    </row>
    <row r="351" spans="1:14" ht="24.75" hidden="1" customHeight="1" x14ac:dyDescent="0.2">
      <c r="A351" s="106" t="s">
        <v>664</v>
      </c>
      <c r="B351" s="11" t="s">
        <v>665</v>
      </c>
      <c r="C351" s="12" t="s">
        <v>28</v>
      </c>
      <c r="D351" s="13">
        <v>1</v>
      </c>
      <c r="E351" s="13">
        <f>[1]CPUs!I3027</f>
        <v>917.04</v>
      </c>
      <c r="F351" s="13">
        <v>1133.73</v>
      </c>
      <c r="G351" s="13">
        <f t="shared" si="113"/>
        <v>1133.73</v>
      </c>
      <c r="H351" s="13">
        <v>0</v>
      </c>
      <c r="I351" s="13">
        <v>0</v>
      </c>
      <c r="J351" s="13">
        <f t="shared" si="108"/>
        <v>0</v>
      </c>
      <c r="K351" s="13">
        <f t="shared" si="109"/>
        <v>0</v>
      </c>
      <c r="L351" s="13">
        <f t="shared" si="110"/>
        <v>0</v>
      </c>
      <c r="M351" s="107">
        <f t="shared" si="111"/>
        <v>0</v>
      </c>
      <c r="N351" s="103">
        <f t="shared" si="112"/>
        <v>0</v>
      </c>
    </row>
    <row r="352" spans="1:14" ht="24.75" hidden="1" customHeight="1" x14ac:dyDescent="0.2">
      <c r="A352" s="106" t="s">
        <v>666</v>
      </c>
      <c r="B352" s="11" t="s">
        <v>667</v>
      </c>
      <c r="C352" s="12" t="s">
        <v>28</v>
      </c>
      <c r="D352" s="13">
        <v>40</v>
      </c>
      <c r="E352" s="13">
        <f>[1]CPUs!I3036</f>
        <v>234.45359999999999</v>
      </c>
      <c r="F352" s="13">
        <v>289.85498568000003</v>
      </c>
      <c r="G352" s="13">
        <f>(F352*D352)</f>
        <v>11594.199427200001</v>
      </c>
      <c r="H352" s="13">
        <v>0</v>
      </c>
      <c r="I352" s="13">
        <v>0</v>
      </c>
      <c r="J352" s="13">
        <f t="shared" si="108"/>
        <v>0</v>
      </c>
      <c r="K352" s="13">
        <f t="shared" si="109"/>
        <v>0</v>
      </c>
      <c r="L352" s="13">
        <f t="shared" si="110"/>
        <v>0</v>
      </c>
      <c r="M352" s="107">
        <f t="shared" si="111"/>
        <v>0</v>
      </c>
      <c r="N352" s="103">
        <f t="shared" si="112"/>
        <v>0</v>
      </c>
    </row>
    <row r="353" spans="1:14" ht="24.75" hidden="1" customHeight="1" x14ac:dyDescent="0.2">
      <c r="A353" s="106" t="s">
        <v>668</v>
      </c>
      <c r="B353" s="11" t="s">
        <v>669</v>
      </c>
      <c r="C353" s="12" t="s">
        <v>28</v>
      </c>
      <c r="D353" s="13">
        <v>1</v>
      </c>
      <c r="E353" s="13">
        <f>[1]CPUs!I3045</f>
        <v>4697.34</v>
      </c>
      <c r="F353" s="13">
        <v>5807.32</v>
      </c>
      <c r="G353" s="13">
        <f t="shared" si="113"/>
        <v>5807.32</v>
      </c>
      <c r="H353" s="13">
        <v>0</v>
      </c>
      <c r="I353" s="13">
        <v>0</v>
      </c>
      <c r="J353" s="13">
        <f t="shared" si="108"/>
        <v>0</v>
      </c>
      <c r="K353" s="13">
        <f t="shared" si="109"/>
        <v>0</v>
      </c>
      <c r="L353" s="13">
        <f t="shared" si="110"/>
        <v>0</v>
      </c>
      <c r="M353" s="107">
        <f t="shared" si="111"/>
        <v>0</v>
      </c>
      <c r="N353" s="103">
        <f t="shared" si="112"/>
        <v>0</v>
      </c>
    </row>
    <row r="354" spans="1:14" ht="24.75" hidden="1" customHeight="1" x14ac:dyDescent="0.2">
      <c r="A354" s="106" t="s">
        <v>670</v>
      </c>
      <c r="B354" s="11" t="s">
        <v>671</v>
      </c>
      <c r="C354" s="12" t="s">
        <v>28</v>
      </c>
      <c r="D354" s="13">
        <v>11</v>
      </c>
      <c r="E354" s="13">
        <f>[1]CPUs!I3072</f>
        <v>147.79</v>
      </c>
      <c r="F354" s="13">
        <v>182.71</v>
      </c>
      <c r="G354" s="13">
        <f t="shared" si="113"/>
        <v>2009.8100000000002</v>
      </c>
      <c r="H354" s="13">
        <v>0</v>
      </c>
      <c r="I354" s="13">
        <v>0</v>
      </c>
      <c r="J354" s="13">
        <f t="shared" si="108"/>
        <v>0</v>
      </c>
      <c r="K354" s="13">
        <f t="shared" si="109"/>
        <v>0</v>
      </c>
      <c r="L354" s="13">
        <f t="shared" si="110"/>
        <v>0</v>
      </c>
      <c r="M354" s="107">
        <f t="shared" si="111"/>
        <v>0</v>
      </c>
      <c r="N354" s="103">
        <f t="shared" si="112"/>
        <v>0</v>
      </c>
    </row>
    <row r="355" spans="1:14" ht="24.75" hidden="1" customHeight="1" x14ac:dyDescent="0.2">
      <c r="A355" s="106" t="s">
        <v>672</v>
      </c>
      <c r="B355" s="11" t="s">
        <v>673</v>
      </c>
      <c r="C355" s="12" t="s">
        <v>28</v>
      </c>
      <c r="D355" s="13">
        <v>1</v>
      </c>
      <c r="E355" s="13">
        <f>[1]CPUs!I3080</f>
        <v>763.63</v>
      </c>
      <c r="F355" s="13">
        <v>883.44</v>
      </c>
      <c r="G355" s="13">
        <f t="shared" si="113"/>
        <v>883.44</v>
      </c>
      <c r="H355" s="13">
        <v>0</v>
      </c>
      <c r="I355" s="13">
        <v>0</v>
      </c>
      <c r="J355" s="13">
        <f t="shared" si="108"/>
        <v>0</v>
      </c>
      <c r="K355" s="13">
        <f t="shared" si="109"/>
        <v>0</v>
      </c>
      <c r="L355" s="13">
        <f t="shared" si="110"/>
        <v>0</v>
      </c>
      <c r="M355" s="107">
        <f t="shared" si="111"/>
        <v>0</v>
      </c>
      <c r="N355" s="103">
        <f t="shared" si="112"/>
        <v>0</v>
      </c>
    </row>
    <row r="356" spans="1:14" ht="24.75" hidden="1" customHeight="1" x14ac:dyDescent="0.2">
      <c r="A356" s="106" t="s">
        <v>674</v>
      </c>
      <c r="B356" s="11" t="s">
        <v>675</v>
      </c>
      <c r="C356" s="12" t="s">
        <v>28</v>
      </c>
      <c r="D356" s="13">
        <v>1</v>
      </c>
      <c r="E356" s="13">
        <f>[1]CPUs!I3086</f>
        <v>3105.37</v>
      </c>
      <c r="F356" s="13">
        <v>3592.6</v>
      </c>
      <c r="G356" s="13">
        <f t="shared" si="113"/>
        <v>3592.6</v>
      </c>
      <c r="H356" s="13">
        <v>0</v>
      </c>
      <c r="I356" s="13">
        <v>0</v>
      </c>
      <c r="J356" s="13">
        <f t="shared" si="108"/>
        <v>0</v>
      </c>
      <c r="K356" s="13">
        <f t="shared" si="109"/>
        <v>0</v>
      </c>
      <c r="L356" s="13">
        <f t="shared" si="110"/>
        <v>0</v>
      </c>
      <c r="M356" s="107">
        <f t="shared" si="111"/>
        <v>0</v>
      </c>
      <c r="N356" s="103">
        <f t="shared" si="112"/>
        <v>0</v>
      </c>
    </row>
    <row r="357" spans="1:14" ht="24.75" hidden="1" customHeight="1" x14ac:dyDescent="0.2">
      <c r="A357" s="106" t="s">
        <v>676</v>
      </c>
      <c r="B357" s="11" t="s">
        <v>677</v>
      </c>
      <c r="C357" s="12" t="s">
        <v>28</v>
      </c>
      <c r="D357" s="13">
        <v>11</v>
      </c>
      <c r="E357" s="13">
        <f>[1]CPUs!I3093</f>
        <v>80.25</v>
      </c>
      <c r="F357" s="13">
        <v>99.21</v>
      </c>
      <c r="G357" s="13">
        <f t="shared" si="113"/>
        <v>1091.31</v>
      </c>
      <c r="H357" s="13">
        <v>0</v>
      </c>
      <c r="I357" s="13">
        <v>0</v>
      </c>
      <c r="J357" s="13">
        <f t="shared" si="108"/>
        <v>0</v>
      </c>
      <c r="K357" s="13">
        <f t="shared" si="109"/>
        <v>0</v>
      </c>
      <c r="L357" s="13">
        <f t="shared" si="110"/>
        <v>0</v>
      </c>
      <c r="M357" s="107">
        <f t="shared" si="111"/>
        <v>0</v>
      </c>
      <c r="N357" s="103">
        <f t="shared" si="112"/>
        <v>0</v>
      </c>
    </row>
    <row r="358" spans="1:14" ht="24.75" hidden="1" customHeight="1" x14ac:dyDescent="0.2">
      <c r="A358" s="106" t="s">
        <v>678</v>
      </c>
      <c r="B358" s="11" t="s">
        <v>679</v>
      </c>
      <c r="C358" s="12" t="s">
        <v>28</v>
      </c>
      <c r="D358" s="13">
        <v>206</v>
      </c>
      <c r="E358" s="13">
        <f>[1]CPUs!I3101</f>
        <v>109.96559999999999</v>
      </c>
      <c r="F358" s="13">
        <v>127.22</v>
      </c>
      <c r="G358" s="13">
        <f t="shared" si="113"/>
        <v>26207.32</v>
      </c>
      <c r="H358" s="13">
        <v>0</v>
      </c>
      <c r="I358" s="13">
        <v>0</v>
      </c>
      <c r="J358" s="13">
        <f t="shared" si="108"/>
        <v>0</v>
      </c>
      <c r="K358" s="13">
        <f t="shared" si="109"/>
        <v>0</v>
      </c>
      <c r="L358" s="13">
        <f t="shared" si="110"/>
        <v>0</v>
      </c>
      <c r="M358" s="107">
        <f t="shared" si="111"/>
        <v>0</v>
      </c>
      <c r="N358" s="103">
        <f t="shared" si="112"/>
        <v>0</v>
      </c>
    </row>
    <row r="359" spans="1:14" ht="24.75" hidden="1" customHeight="1" x14ac:dyDescent="0.2">
      <c r="A359" s="106" t="s">
        <v>680</v>
      </c>
      <c r="B359" s="11" t="s">
        <v>681</v>
      </c>
      <c r="C359" s="12" t="s">
        <v>28</v>
      </c>
      <c r="D359" s="13">
        <v>155</v>
      </c>
      <c r="E359" s="13">
        <f>[1]CPUs!I3108</f>
        <v>141.75799999999998</v>
      </c>
      <c r="F359" s="13">
        <v>175.25541539999998</v>
      </c>
      <c r="G359" s="13">
        <f>(F359*D359)</f>
        <v>27164.589386999996</v>
      </c>
      <c r="H359" s="13">
        <v>0</v>
      </c>
      <c r="I359" s="13">
        <v>0</v>
      </c>
      <c r="J359" s="13">
        <f t="shared" si="108"/>
        <v>0</v>
      </c>
      <c r="K359" s="13">
        <f t="shared" si="109"/>
        <v>0</v>
      </c>
      <c r="L359" s="13">
        <f t="shared" si="110"/>
        <v>0</v>
      </c>
      <c r="M359" s="107">
        <f t="shared" si="111"/>
        <v>0</v>
      </c>
      <c r="N359" s="103">
        <f t="shared" si="112"/>
        <v>0</v>
      </c>
    </row>
    <row r="360" spans="1:14" ht="24.75" hidden="1" customHeight="1" x14ac:dyDescent="0.2">
      <c r="A360" s="106" t="s">
        <v>682</v>
      </c>
      <c r="B360" s="11" t="s">
        <v>683</v>
      </c>
      <c r="C360" s="12" t="s">
        <v>28</v>
      </c>
      <c r="D360" s="13">
        <v>155</v>
      </c>
      <c r="E360" s="13">
        <f>[1]CPUs!I3116</f>
        <v>208.51999999999998</v>
      </c>
      <c r="F360" s="13">
        <v>257.79327599999999</v>
      </c>
      <c r="G360" s="13">
        <f>(F360*D360)</f>
        <v>39957.957779999997</v>
      </c>
      <c r="H360" s="13">
        <v>0</v>
      </c>
      <c r="I360" s="13">
        <v>0</v>
      </c>
      <c r="J360" s="13">
        <f t="shared" si="108"/>
        <v>0</v>
      </c>
      <c r="K360" s="13">
        <f t="shared" si="109"/>
        <v>0</v>
      </c>
      <c r="L360" s="13">
        <f t="shared" si="110"/>
        <v>0</v>
      </c>
      <c r="M360" s="107">
        <f t="shared" si="111"/>
        <v>0</v>
      </c>
      <c r="N360" s="103">
        <f t="shared" si="112"/>
        <v>0</v>
      </c>
    </row>
    <row r="361" spans="1:14" ht="24.75" hidden="1" customHeight="1" x14ac:dyDescent="0.2">
      <c r="A361" s="106" t="s">
        <v>684</v>
      </c>
      <c r="B361" s="11" t="s">
        <v>685</v>
      </c>
      <c r="C361" s="12" t="s">
        <v>28</v>
      </c>
      <c r="D361" s="13">
        <v>29</v>
      </c>
      <c r="E361" s="13">
        <f>[1]CPUs!I3124</f>
        <v>156.74</v>
      </c>
      <c r="F361" s="13">
        <v>193.77</v>
      </c>
      <c r="G361" s="13">
        <f t="shared" si="113"/>
        <v>5619.33</v>
      </c>
      <c r="H361" s="13">
        <v>0</v>
      </c>
      <c r="I361" s="13">
        <v>0</v>
      </c>
      <c r="J361" s="13">
        <f t="shared" si="108"/>
        <v>0</v>
      </c>
      <c r="K361" s="13">
        <f t="shared" si="109"/>
        <v>0</v>
      </c>
      <c r="L361" s="13">
        <f t="shared" si="110"/>
        <v>0</v>
      </c>
      <c r="M361" s="107">
        <f t="shared" si="111"/>
        <v>0</v>
      </c>
      <c r="N361" s="103">
        <f t="shared" si="112"/>
        <v>0</v>
      </c>
    </row>
    <row r="362" spans="1:14" ht="24.75" hidden="1" customHeight="1" x14ac:dyDescent="0.2">
      <c r="A362" s="106" t="s">
        <v>686</v>
      </c>
      <c r="B362" s="11" t="s">
        <v>687</v>
      </c>
      <c r="C362" s="12" t="s">
        <v>13</v>
      </c>
      <c r="D362" s="13">
        <v>1</v>
      </c>
      <c r="E362" s="13">
        <f>[1]CPUs!I3132</f>
        <v>127.93</v>
      </c>
      <c r="F362" s="13">
        <v>158.15</v>
      </c>
      <c r="G362" s="13">
        <f t="shared" si="113"/>
        <v>158.15</v>
      </c>
      <c r="H362" s="13">
        <v>0</v>
      </c>
      <c r="I362" s="13">
        <v>0</v>
      </c>
      <c r="J362" s="13">
        <f t="shared" si="108"/>
        <v>0</v>
      </c>
      <c r="K362" s="13">
        <f t="shared" si="109"/>
        <v>0</v>
      </c>
      <c r="L362" s="13">
        <f t="shared" si="110"/>
        <v>0</v>
      </c>
      <c r="M362" s="107">
        <f t="shared" si="111"/>
        <v>0</v>
      </c>
      <c r="N362" s="103">
        <f t="shared" si="112"/>
        <v>0</v>
      </c>
    </row>
    <row r="363" spans="1:14" ht="24.75" hidden="1" customHeight="1" x14ac:dyDescent="0.2">
      <c r="A363" s="106" t="s">
        <v>688</v>
      </c>
      <c r="B363" s="11" t="s">
        <v>689</v>
      </c>
      <c r="C363" s="12" t="s">
        <v>13</v>
      </c>
      <c r="D363" s="13">
        <v>206</v>
      </c>
      <c r="E363" s="13">
        <f>[1]CPUs!I3139</f>
        <v>2.97</v>
      </c>
      <c r="F363" s="13">
        <v>3.67</v>
      </c>
      <c r="G363" s="13">
        <f t="shared" si="113"/>
        <v>756.02</v>
      </c>
      <c r="H363" s="13">
        <v>0</v>
      </c>
      <c r="I363" s="13">
        <v>0</v>
      </c>
      <c r="J363" s="13">
        <f t="shared" si="108"/>
        <v>0</v>
      </c>
      <c r="K363" s="13">
        <f t="shared" si="109"/>
        <v>0</v>
      </c>
      <c r="L363" s="13">
        <f t="shared" si="110"/>
        <v>0</v>
      </c>
      <c r="M363" s="107">
        <f t="shared" si="111"/>
        <v>0</v>
      </c>
      <c r="N363" s="103">
        <f t="shared" si="112"/>
        <v>0</v>
      </c>
    </row>
    <row r="364" spans="1:14" ht="24.75" hidden="1" customHeight="1" x14ac:dyDescent="0.2">
      <c r="A364" s="106" t="s">
        <v>690</v>
      </c>
      <c r="B364" s="11" t="s">
        <v>691</v>
      </c>
      <c r="C364" s="12" t="s">
        <v>28</v>
      </c>
      <c r="D364" s="13">
        <v>1</v>
      </c>
      <c r="E364" s="13">
        <f>[1]CPUs!I3146</f>
        <v>11.66</v>
      </c>
      <c r="F364" s="13">
        <v>14.41</v>
      </c>
      <c r="G364" s="13">
        <f t="shared" si="113"/>
        <v>14.41</v>
      </c>
      <c r="H364" s="13">
        <v>0</v>
      </c>
      <c r="I364" s="13">
        <v>0</v>
      </c>
      <c r="J364" s="13">
        <f t="shared" si="108"/>
        <v>0</v>
      </c>
      <c r="K364" s="13">
        <f t="shared" si="109"/>
        <v>0</v>
      </c>
      <c r="L364" s="13">
        <f t="shared" si="110"/>
        <v>0</v>
      </c>
      <c r="M364" s="107">
        <f t="shared" si="111"/>
        <v>0</v>
      </c>
      <c r="N364" s="103">
        <f t="shared" si="112"/>
        <v>0</v>
      </c>
    </row>
    <row r="365" spans="1:14" ht="24.75" hidden="1" customHeight="1" x14ac:dyDescent="0.2">
      <c r="A365" s="108" t="s">
        <v>692</v>
      </c>
      <c r="B365" s="16" t="s">
        <v>693</v>
      </c>
      <c r="C365" s="16"/>
      <c r="D365" s="20"/>
      <c r="E365" s="19"/>
      <c r="F365" s="19"/>
      <c r="G365" s="20">
        <f>SUM(G366:G369)</f>
        <v>69230.487013236634</v>
      </c>
      <c r="H365" s="20"/>
      <c r="I365" s="19"/>
      <c r="J365" s="20"/>
      <c r="K365" s="20">
        <f>SUM(K366:K369)</f>
        <v>0</v>
      </c>
      <c r="L365" s="20">
        <f>SUM(L366:L369)</f>
        <v>0</v>
      </c>
      <c r="M365" s="109">
        <f>SUM(M366:M369)</f>
        <v>0</v>
      </c>
      <c r="N365" s="102">
        <f t="shared" si="112"/>
        <v>0</v>
      </c>
    </row>
    <row r="366" spans="1:14" ht="24.75" hidden="1" customHeight="1" x14ac:dyDescent="0.2">
      <c r="A366" s="106" t="s">
        <v>694</v>
      </c>
      <c r="B366" s="11" t="s">
        <v>695</v>
      </c>
      <c r="C366" s="12" t="s">
        <v>696</v>
      </c>
      <c r="D366" s="13">
        <v>9.3800000000000008</v>
      </c>
      <c r="E366" s="13">
        <f>[1]CPUs!I3154</f>
        <v>510.97</v>
      </c>
      <c r="F366" s="13">
        <v>631.71</v>
      </c>
      <c r="G366" s="13">
        <f>(F366*D366)</f>
        <v>5925.439800000001</v>
      </c>
      <c r="H366" s="13">
        <v>0</v>
      </c>
      <c r="I366" s="13">
        <v>0</v>
      </c>
      <c r="J366" s="13">
        <f>H366+I366</f>
        <v>0</v>
      </c>
      <c r="K366" s="13">
        <f>H366*F366</f>
        <v>0</v>
      </c>
      <c r="L366" s="13">
        <f>I366*F366</f>
        <v>0</v>
      </c>
      <c r="M366" s="107">
        <f>J366*F366</f>
        <v>0</v>
      </c>
      <c r="N366" s="103">
        <f t="shared" ref="N366:N375" si="114">M366/G366</f>
        <v>0</v>
      </c>
    </row>
    <row r="367" spans="1:14" ht="24.75" hidden="1" customHeight="1" x14ac:dyDescent="0.2">
      <c r="A367" s="106" t="s">
        <v>697</v>
      </c>
      <c r="B367" s="11" t="s">
        <v>698</v>
      </c>
      <c r="C367" s="12" t="s">
        <v>696</v>
      </c>
      <c r="D367" s="13">
        <v>1.76</v>
      </c>
      <c r="E367" s="13">
        <f>[1]CPUs!I3166</f>
        <v>1962.65</v>
      </c>
      <c r="F367" s="13">
        <v>2426.42</v>
      </c>
      <c r="G367" s="13">
        <f>(F367*D367)</f>
        <v>4270.4992000000002</v>
      </c>
      <c r="H367" s="13">
        <v>0</v>
      </c>
      <c r="I367" s="13">
        <v>0</v>
      </c>
      <c r="J367" s="13">
        <f>H367+I367</f>
        <v>0</v>
      </c>
      <c r="K367" s="13">
        <f>H367*F367</f>
        <v>0</v>
      </c>
      <c r="L367" s="13">
        <f>I367*F367</f>
        <v>0</v>
      </c>
      <c r="M367" s="107">
        <f>J367*F367</f>
        <v>0</v>
      </c>
      <c r="N367" s="103">
        <f t="shared" si="114"/>
        <v>0</v>
      </c>
    </row>
    <row r="368" spans="1:14" ht="24.75" hidden="1" customHeight="1" x14ac:dyDescent="0.2">
      <c r="A368" s="106" t="s">
        <v>699</v>
      </c>
      <c r="B368" s="11" t="s">
        <v>700</v>
      </c>
      <c r="C368" s="12" t="s">
        <v>46</v>
      </c>
      <c r="D368" s="13">
        <v>153.66</v>
      </c>
      <c r="E368" s="13">
        <f>[1]CPUs!I3177</f>
        <v>139.25608</v>
      </c>
      <c r="F368" s="13">
        <v>172.16229170399998</v>
      </c>
      <c r="G368" s="13">
        <f>(F368*D368)</f>
        <v>26454.457743236639</v>
      </c>
      <c r="H368" s="13">
        <v>0</v>
      </c>
      <c r="I368" s="13">
        <v>0</v>
      </c>
      <c r="J368" s="13">
        <f>H368+I368</f>
        <v>0</v>
      </c>
      <c r="K368" s="13">
        <f>H368*F368</f>
        <v>0</v>
      </c>
      <c r="L368" s="13">
        <f>I368*F368</f>
        <v>0</v>
      </c>
      <c r="M368" s="107">
        <f>J368*F368</f>
        <v>0</v>
      </c>
      <c r="N368" s="103">
        <f t="shared" si="114"/>
        <v>0</v>
      </c>
    </row>
    <row r="369" spans="1:14" ht="24.75" hidden="1" customHeight="1" x14ac:dyDescent="0.2">
      <c r="A369" s="106" t="s">
        <v>701</v>
      </c>
      <c r="B369" s="11" t="s">
        <v>702</v>
      </c>
      <c r="C369" s="12" t="s">
        <v>46</v>
      </c>
      <c r="D369" s="13">
        <v>235</v>
      </c>
      <c r="E369" s="13">
        <f>[1]CPUs!I3188</f>
        <v>112.13999999999999</v>
      </c>
      <c r="F369" s="13">
        <v>138.63868199999999</v>
      </c>
      <c r="G369" s="13">
        <f>D369*F369</f>
        <v>32580.090269999997</v>
      </c>
      <c r="H369" s="13">
        <v>0</v>
      </c>
      <c r="I369" s="13">
        <v>0</v>
      </c>
      <c r="J369" s="13">
        <f>H369+I369</f>
        <v>0</v>
      </c>
      <c r="K369" s="13">
        <f>H369*F369</f>
        <v>0</v>
      </c>
      <c r="L369" s="13">
        <f>I369*F369</f>
        <v>0</v>
      </c>
      <c r="M369" s="107">
        <f>J369*F369</f>
        <v>0</v>
      </c>
      <c r="N369" s="103">
        <f t="shared" si="114"/>
        <v>0</v>
      </c>
    </row>
    <row r="370" spans="1:14" ht="24.75" hidden="1" customHeight="1" x14ac:dyDescent="0.2">
      <c r="A370" s="108" t="s">
        <v>703</v>
      </c>
      <c r="B370" s="16" t="s">
        <v>704</v>
      </c>
      <c r="C370" s="16"/>
      <c r="D370" s="20"/>
      <c r="E370" s="19"/>
      <c r="F370" s="19"/>
      <c r="G370" s="20">
        <f>SUM(G371:G373)</f>
        <v>20007.4872</v>
      </c>
      <c r="H370" s="20"/>
      <c r="I370" s="19"/>
      <c r="J370" s="20"/>
      <c r="K370" s="20">
        <f>SUM(K371:K373)</f>
        <v>0</v>
      </c>
      <c r="L370" s="20">
        <f>SUM(L371:L373)</f>
        <v>0</v>
      </c>
      <c r="M370" s="109">
        <f>SUM(M371:M373)</f>
        <v>0</v>
      </c>
      <c r="N370" s="102">
        <f t="shared" si="114"/>
        <v>0</v>
      </c>
    </row>
    <row r="371" spans="1:14" ht="24.75" hidden="1" customHeight="1" x14ac:dyDescent="0.2">
      <c r="A371" s="106" t="s">
        <v>705</v>
      </c>
      <c r="B371" s="11" t="s">
        <v>706</v>
      </c>
      <c r="C371" s="12" t="s">
        <v>696</v>
      </c>
      <c r="D371" s="13">
        <v>250</v>
      </c>
      <c r="E371" s="13">
        <f>[1]CPUs!I3196</f>
        <v>16.2</v>
      </c>
      <c r="F371" s="13">
        <v>20.02806</v>
      </c>
      <c r="G371" s="13">
        <f>(F371*D371)</f>
        <v>5007.0150000000003</v>
      </c>
      <c r="H371" s="13">
        <v>0</v>
      </c>
      <c r="I371" s="13">
        <v>0</v>
      </c>
      <c r="J371" s="13">
        <f>H371+I371</f>
        <v>0</v>
      </c>
      <c r="K371" s="13">
        <f>H371*F371</f>
        <v>0</v>
      </c>
      <c r="L371" s="13">
        <f>I371*F371</f>
        <v>0</v>
      </c>
      <c r="M371" s="107">
        <f>J371*F371</f>
        <v>0</v>
      </c>
      <c r="N371" s="103">
        <f t="shared" si="114"/>
        <v>0</v>
      </c>
    </row>
    <row r="372" spans="1:14" ht="24.75" hidden="1" customHeight="1" x14ac:dyDescent="0.2">
      <c r="A372" s="106" t="s">
        <v>707</v>
      </c>
      <c r="B372" s="11" t="s">
        <v>708</v>
      </c>
      <c r="C372" s="12" t="s">
        <v>28</v>
      </c>
      <c r="D372" s="13">
        <v>320</v>
      </c>
      <c r="E372" s="13">
        <f>[1]CPUs!I3204</f>
        <v>32.949999999999996</v>
      </c>
      <c r="F372" s="13">
        <v>40.736084999999996</v>
      </c>
      <c r="G372" s="13">
        <f>(F372*D372)</f>
        <v>13035.547199999999</v>
      </c>
      <c r="H372" s="13">
        <v>0</v>
      </c>
      <c r="I372" s="13">
        <v>0</v>
      </c>
      <c r="J372" s="13">
        <f>H372+I372</f>
        <v>0</v>
      </c>
      <c r="K372" s="13">
        <f>H372*F372</f>
        <v>0</v>
      </c>
      <c r="L372" s="13">
        <f>I372*F372</f>
        <v>0</v>
      </c>
      <c r="M372" s="107">
        <f>J372*F372</f>
        <v>0</v>
      </c>
      <c r="N372" s="103">
        <f t="shared" si="114"/>
        <v>0</v>
      </c>
    </row>
    <row r="373" spans="1:14" ht="27.75" hidden="1" customHeight="1" x14ac:dyDescent="0.2">
      <c r="A373" s="106" t="s">
        <v>709</v>
      </c>
      <c r="B373" s="11" t="s">
        <v>710</v>
      </c>
      <c r="C373" s="12" t="s">
        <v>711</v>
      </c>
      <c r="D373" s="13">
        <v>35.5</v>
      </c>
      <c r="E373" s="13">
        <f>[1]CPUs!I3212</f>
        <v>47.84</v>
      </c>
      <c r="F373" s="13">
        <v>55.35</v>
      </c>
      <c r="G373" s="13">
        <f>(F373*D373)</f>
        <v>1964.925</v>
      </c>
      <c r="H373" s="13">
        <v>0</v>
      </c>
      <c r="I373" s="13">
        <v>0</v>
      </c>
      <c r="J373" s="13">
        <f>H373+I373</f>
        <v>0</v>
      </c>
      <c r="K373" s="13">
        <f>H373*F373</f>
        <v>0</v>
      </c>
      <c r="L373" s="13">
        <f>I373*F373</f>
        <v>0</v>
      </c>
      <c r="M373" s="107">
        <f>J373*F373</f>
        <v>0</v>
      </c>
      <c r="N373" s="103">
        <f t="shared" si="114"/>
        <v>0</v>
      </c>
    </row>
    <row r="374" spans="1:14" ht="24.75" customHeight="1" x14ac:dyDescent="0.2">
      <c r="A374" s="108" t="s">
        <v>712</v>
      </c>
      <c r="B374" s="16" t="s">
        <v>713</v>
      </c>
      <c r="C374" s="16"/>
      <c r="D374" s="20"/>
      <c r="E374" s="19"/>
      <c r="F374" s="19"/>
      <c r="G374" s="20">
        <f>G375</f>
        <v>213326.78628468001</v>
      </c>
      <c r="H374" s="20"/>
      <c r="I374" s="19"/>
      <c r="J374" s="20"/>
      <c r="K374" s="20">
        <f>K375</f>
        <v>60260.09133144001</v>
      </c>
      <c r="L374" s="20">
        <f>L375</f>
        <v>13315.33079136</v>
      </c>
      <c r="M374" s="109">
        <f>M375</f>
        <v>73575.42212280001</v>
      </c>
      <c r="N374" s="102">
        <f t="shared" si="114"/>
        <v>0.34489537579502644</v>
      </c>
    </row>
    <row r="375" spans="1:14" ht="24.75" customHeight="1" x14ac:dyDescent="0.2">
      <c r="A375" s="108" t="s">
        <v>714</v>
      </c>
      <c r="B375" s="16" t="s">
        <v>715</v>
      </c>
      <c r="C375" s="16"/>
      <c r="D375" s="20"/>
      <c r="E375" s="19"/>
      <c r="F375" s="19"/>
      <c r="G375" s="20">
        <f>SUM(G376:G381)</f>
        <v>213326.78628468001</v>
      </c>
      <c r="H375" s="20"/>
      <c r="I375" s="19"/>
      <c r="J375" s="20"/>
      <c r="K375" s="20">
        <f>SUM(K376:K381)</f>
        <v>60260.09133144001</v>
      </c>
      <c r="L375" s="20">
        <f>SUM(L376:L381)</f>
        <v>13315.33079136</v>
      </c>
      <c r="M375" s="109">
        <f>SUM(M376:M381)</f>
        <v>73575.42212280001</v>
      </c>
      <c r="N375" s="102">
        <f t="shared" si="114"/>
        <v>0.34489537579502644</v>
      </c>
    </row>
    <row r="376" spans="1:14" ht="24.75" hidden="1" customHeight="1" x14ac:dyDescent="0.2">
      <c r="A376" s="106" t="s">
        <v>716</v>
      </c>
      <c r="B376" s="11" t="s">
        <v>717</v>
      </c>
      <c r="C376" s="12" t="s">
        <v>46</v>
      </c>
      <c r="D376" s="13">
        <v>1150</v>
      </c>
      <c r="E376" s="13">
        <f>[1]CPUs!I3219</f>
        <v>11.866655999999999</v>
      </c>
      <c r="F376" s="13">
        <v>14.670746812799999</v>
      </c>
      <c r="G376" s="13">
        <f>(F376*D376)</f>
        <v>16871.358834719998</v>
      </c>
      <c r="H376" s="13">
        <v>0</v>
      </c>
      <c r="I376" s="13">
        <v>0</v>
      </c>
      <c r="J376" s="13">
        <f t="shared" ref="J376:J381" si="115">H376+I376</f>
        <v>0</v>
      </c>
      <c r="K376" s="13">
        <f t="shared" ref="K376:K381" si="116">H376*F376</f>
        <v>0</v>
      </c>
      <c r="L376" s="13">
        <f t="shared" ref="L376:L381" si="117">I376*F376</f>
        <v>0</v>
      </c>
      <c r="M376" s="107">
        <f t="shared" ref="M376:M381" si="118">J376*F376</f>
        <v>0</v>
      </c>
      <c r="N376" s="103">
        <f t="shared" ref="N376:N383" si="119">M376/G376</f>
        <v>0</v>
      </c>
    </row>
    <row r="377" spans="1:14" ht="24.75" customHeight="1" x14ac:dyDescent="0.2">
      <c r="A377" s="106" t="s">
        <v>718</v>
      </c>
      <c r="B377" s="11" t="s">
        <v>719</v>
      </c>
      <c r="C377" s="12" t="s">
        <v>720</v>
      </c>
      <c r="D377" s="13">
        <v>20950</v>
      </c>
      <c r="E377" s="13">
        <f>[1]CPUs!I3227</f>
        <v>4.9367600000000005</v>
      </c>
      <c r="F377" s="13">
        <v>6.1033163880000005</v>
      </c>
      <c r="G377" s="13">
        <f>(F377*D377)</f>
        <v>127864.47832860002</v>
      </c>
      <c r="H377" s="13">
        <v>8380</v>
      </c>
      <c r="I377" s="13">
        <v>0</v>
      </c>
      <c r="J377" s="13">
        <f t="shared" si="115"/>
        <v>8380</v>
      </c>
      <c r="K377" s="13">
        <f t="shared" si="116"/>
        <v>51145.791331440007</v>
      </c>
      <c r="L377" s="13">
        <f t="shared" si="117"/>
        <v>0</v>
      </c>
      <c r="M377" s="107">
        <f t="shared" si="118"/>
        <v>51145.791331440007</v>
      </c>
      <c r="N377" s="103">
        <f t="shared" si="119"/>
        <v>0.4</v>
      </c>
    </row>
    <row r="378" spans="1:14" ht="24.75" hidden="1" customHeight="1" x14ac:dyDescent="0.2">
      <c r="A378" s="106" t="s">
        <v>718</v>
      </c>
      <c r="B378" s="11" t="s">
        <v>721</v>
      </c>
      <c r="C378" s="12" t="s">
        <v>28</v>
      </c>
      <c r="D378" s="13">
        <v>321</v>
      </c>
      <c r="E378" s="13">
        <f>[1]CPUs!I3235</f>
        <v>97.37</v>
      </c>
      <c r="F378" s="13">
        <v>112.65</v>
      </c>
      <c r="G378" s="13">
        <f>D378*F378</f>
        <v>36160.65</v>
      </c>
      <c r="H378" s="13">
        <v>0</v>
      </c>
      <c r="I378" s="13">
        <v>0</v>
      </c>
      <c r="J378" s="13">
        <f t="shared" si="115"/>
        <v>0</v>
      </c>
      <c r="K378" s="13">
        <f t="shared" si="116"/>
        <v>0</v>
      </c>
      <c r="L378" s="13">
        <f t="shared" si="117"/>
        <v>0</v>
      </c>
      <c r="M378" s="107">
        <f t="shared" si="118"/>
        <v>0</v>
      </c>
      <c r="N378" s="103">
        <f t="shared" si="119"/>
        <v>0</v>
      </c>
    </row>
    <row r="379" spans="1:14" ht="24.75" hidden="1" customHeight="1" x14ac:dyDescent="0.2">
      <c r="A379" s="106" t="s">
        <v>722</v>
      </c>
      <c r="B379" s="11" t="s">
        <v>723</v>
      </c>
      <c r="C379" s="12" t="s">
        <v>724</v>
      </c>
      <c r="D379" s="13">
        <v>321</v>
      </c>
      <c r="E379" s="13">
        <f>[1]CPUs!I3242</f>
        <v>25.2</v>
      </c>
      <c r="F379" s="13">
        <v>31.154730000000001</v>
      </c>
      <c r="G379" s="13">
        <f>(F379*D379)</f>
        <v>10000.66833</v>
      </c>
      <c r="H379" s="13">
        <v>0</v>
      </c>
      <c r="I379" s="13">
        <v>0</v>
      </c>
      <c r="J379" s="13">
        <f t="shared" si="115"/>
        <v>0</v>
      </c>
      <c r="K379" s="13">
        <f t="shared" si="116"/>
        <v>0</v>
      </c>
      <c r="L379" s="13">
        <f t="shared" si="117"/>
        <v>0</v>
      </c>
      <c r="M379" s="107">
        <f t="shared" si="118"/>
        <v>0</v>
      </c>
      <c r="N379" s="103">
        <f t="shared" si="119"/>
        <v>0</v>
      </c>
    </row>
    <row r="380" spans="1:14" ht="24.75" customHeight="1" x14ac:dyDescent="0.2">
      <c r="A380" s="106" t="s">
        <v>725</v>
      </c>
      <c r="B380" s="11" t="s">
        <v>726</v>
      </c>
      <c r="C380" s="12" t="s">
        <v>46</v>
      </c>
      <c r="D380" s="13">
        <v>360</v>
      </c>
      <c r="E380" s="13">
        <f>[1]CPUs!I3248</f>
        <v>29.91752</v>
      </c>
      <c r="F380" s="13">
        <v>36.987029976000002</v>
      </c>
      <c r="G380" s="13">
        <f>D380*F380</f>
        <v>13315.33079136</v>
      </c>
      <c r="H380" s="13">
        <v>0</v>
      </c>
      <c r="I380" s="13">
        <v>360</v>
      </c>
      <c r="J380" s="13">
        <f t="shared" si="115"/>
        <v>360</v>
      </c>
      <c r="K380" s="13">
        <f t="shared" si="116"/>
        <v>0</v>
      </c>
      <c r="L380" s="13">
        <f t="shared" si="117"/>
        <v>13315.33079136</v>
      </c>
      <c r="M380" s="107">
        <f t="shared" si="118"/>
        <v>13315.33079136</v>
      </c>
      <c r="N380" s="103">
        <f t="shared" si="119"/>
        <v>1</v>
      </c>
    </row>
    <row r="381" spans="1:14" ht="24.75" customHeight="1" x14ac:dyDescent="0.2">
      <c r="A381" s="106" t="s">
        <v>727</v>
      </c>
      <c r="B381" s="11" t="s">
        <v>615</v>
      </c>
      <c r="C381" s="12" t="s">
        <v>46</v>
      </c>
      <c r="D381" s="13">
        <v>95</v>
      </c>
      <c r="E381" s="13">
        <f>[1]CPUs!I3256</f>
        <v>77.601140000000001</v>
      </c>
      <c r="F381" s="13">
        <v>95.94</v>
      </c>
      <c r="G381" s="13">
        <f>D381*F381</f>
        <v>9114.2999999999993</v>
      </c>
      <c r="H381" s="13">
        <v>95</v>
      </c>
      <c r="I381" s="13">
        <v>0</v>
      </c>
      <c r="J381" s="13">
        <f t="shared" si="115"/>
        <v>95</v>
      </c>
      <c r="K381" s="13">
        <f t="shared" si="116"/>
        <v>9114.2999999999993</v>
      </c>
      <c r="L381" s="13">
        <f t="shared" si="117"/>
        <v>0</v>
      </c>
      <c r="M381" s="107">
        <f t="shared" si="118"/>
        <v>9114.2999999999993</v>
      </c>
      <c r="N381" s="103">
        <f t="shared" si="119"/>
        <v>1</v>
      </c>
    </row>
    <row r="382" spans="1:14" ht="24.75" customHeight="1" x14ac:dyDescent="0.2">
      <c r="A382" s="108" t="s">
        <v>728</v>
      </c>
      <c r="B382" s="16" t="s">
        <v>729</v>
      </c>
      <c r="C382" s="16"/>
      <c r="D382" s="20"/>
      <c r="E382" s="19"/>
      <c r="F382" s="19"/>
      <c r="G382" s="20">
        <f>G383+G396+G407+G412+G424</f>
        <v>520061.69251411856</v>
      </c>
      <c r="H382" s="20"/>
      <c r="I382" s="19"/>
      <c r="J382" s="20"/>
      <c r="K382" s="20">
        <f>K383+K396+K407+K412+K424</f>
        <v>423326.83341392741</v>
      </c>
      <c r="L382" s="20">
        <f>L383+L396+L407+L412+L424</f>
        <v>0</v>
      </c>
      <c r="M382" s="109">
        <f>M383+M396+M407+M412+M424</f>
        <v>423326.83341392741</v>
      </c>
      <c r="N382" s="102">
        <f t="shared" si="119"/>
        <v>0.81399349251711128</v>
      </c>
    </row>
    <row r="383" spans="1:14" ht="24.75" customHeight="1" x14ac:dyDescent="0.2">
      <c r="A383" s="108" t="s">
        <v>730</v>
      </c>
      <c r="B383" s="16" t="s">
        <v>731</v>
      </c>
      <c r="C383" s="16"/>
      <c r="D383" s="20"/>
      <c r="E383" s="19"/>
      <c r="F383" s="19"/>
      <c r="G383" s="20">
        <f>SUM(G384:G395)</f>
        <v>210935.57249999998</v>
      </c>
      <c r="H383" s="20"/>
      <c r="I383" s="19"/>
      <c r="J383" s="20"/>
      <c r="K383" s="20">
        <f>SUM(K384:K395)-0.01</f>
        <v>208152.56249999997</v>
      </c>
      <c r="L383" s="20">
        <f>SUM(L384:L395)</f>
        <v>0</v>
      </c>
      <c r="M383" s="109">
        <f>SUM(M384:M395)-0.01</f>
        <v>208152.56249999997</v>
      </c>
      <c r="N383" s="102">
        <f t="shared" si="119"/>
        <v>0.98680635055047428</v>
      </c>
    </row>
    <row r="384" spans="1:14" ht="26.1" customHeight="1" x14ac:dyDescent="0.2">
      <c r="A384" s="106" t="s">
        <v>732</v>
      </c>
      <c r="B384" s="11" t="s">
        <v>733</v>
      </c>
      <c r="C384" s="12" t="s">
        <v>696</v>
      </c>
      <c r="D384" s="13">
        <v>1220</v>
      </c>
      <c r="E384" s="13">
        <f>[1]CPUs!I3265</f>
        <v>1.55</v>
      </c>
      <c r="F384" s="13">
        <v>1.91</v>
      </c>
      <c r="G384" s="13">
        <f>D384*F384</f>
        <v>2330.1999999999998</v>
      </c>
      <c r="H384" s="13">
        <v>1220</v>
      </c>
      <c r="I384" s="13">
        <v>0</v>
      </c>
      <c r="J384" s="13">
        <f t="shared" ref="J384:J395" si="120">H384+I384</f>
        <v>1220</v>
      </c>
      <c r="K384" s="13">
        <f t="shared" ref="K384:K395" si="121">H384*F384</f>
        <v>2330.1999999999998</v>
      </c>
      <c r="L384" s="13">
        <f t="shared" ref="L384:L395" si="122">I384*F384</f>
        <v>0</v>
      </c>
      <c r="M384" s="107">
        <f t="shared" ref="M384:M395" si="123">J384*F384</f>
        <v>2330.1999999999998</v>
      </c>
      <c r="N384" s="103">
        <f t="shared" ref="N384:N434" si="124">M384/G384</f>
        <v>1</v>
      </c>
    </row>
    <row r="385" spans="1:14" ht="26.1" customHeight="1" x14ac:dyDescent="0.2">
      <c r="A385" s="106" t="s">
        <v>734</v>
      </c>
      <c r="B385" s="11" t="s">
        <v>735</v>
      </c>
      <c r="C385" s="12" t="s">
        <v>28</v>
      </c>
      <c r="D385" s="13">
        <v>12</v>
      </c>
      <c r="E385" s="13">
        <f>[1]CPUs!I3272</f>
        <v>227.81</v>
      </c>
      <c r="F385" s="13">
        <v>281.64</v>
      </c>
      <c r="G385" s="13">
        <f t="shared" ref="G385:G395" si="125">D385*F385</f>
        <v>3379.68</v>
      </c>
      <c r="H385" s="13">
        <v>12</v>
      </c>
      <c r="I385" s="13">
        <v>0</v>
      </c>
      <c r="J385" s="13">
        <f t="shared" si="120"/>
        <v>12</v>
      </c>
      <c r="K385" s="13">
        <f t="shared" si="121"/>
        <v>3379.68</v>
      </c>
      <c r="L385" s="13">
        <f t="shared" si="122"/>
        <v>0</v>
      </c>
      <c r="M385" s="107">
        <f t="shared" si="123"/>
        <v>3379.68</v>
      </c>
      <c r="N385" s="103">
        <f t="shared" si="124"/>
        <v>1</v>
      </c>
    </row>
    <row r="386" spans="1:14" ht="39" customHeight="1" x14ac:dyDescent="0.2">
      <c r="A386" s="106" t="s">
        <v>736</v>
      </c>
      <c r="B386" s="11" t="s">
        <v>737</v>
      </c>
      <c r="C386" s="12" t="s">
        <v>28</v>
      </c>
      <c r="D386" s="13">
        <v>9</v>
      </c>
      <c r="E386" s="13">
        <f>[1]CPUs!I3281</f>
        <v>93.64</v>
      </c>
      <c r="F386" s="13">
        <v>115.76</v>
      </c>
      <c r="G386" s="13">
        <f t="shared" si="125"/>
        <v>1041.8400000000001</v>
      </c>
      <c r="H386" s="13">
        <v>9</v>
      </c>
      <c r="I386" s="13">
        <v>0</v>
      </c>
      <c r="J386" s="13">
        <f t="shared" si="120"/>
        <v>9</v>
      </c>
      <c r="K386" s="13">
        <f t="shared" si="121"/>
        <v>1041.8400000000001</v>
      </c>
      <c r="L386" s="13">
        <f t="shared" si="122"/>
        <v>0</v>
      </c>
      <c r="M386" s="107">
        <f t="shared" si="123"/>
        <v>1041.8400000000001</v>
      </c>
      <c r="N386" s="103">
        <f t="shared" si="124"/>
        <v>1</v>
      </c>
    </row>
    <row r="387" spans="1:14" ht="39" customHeight="1" x14ac:dyDescent="0.2">
      <c r="A387" s="106" t="s">
        <v>738</v>
      </c>
      <c r="B387" s="11" t="s">
        <v>739</v>
      </c>
      <c r="C387" s="12" t="s">
        <v>28</v>
      </c>
      <c r="D387" s="13">
        <v>21</v>
      </c>
      <c r="E387" s="13">
        <f>[1]CPUs!I3288</f>
        <v>144.41999999999999</v>
      </c>
      <c r="F387" s="13">
        <v>178.54</v>
      </c>
      <c r="G387" s="13">
        <f t="shared" si="125"/>
        <v>3749.3399999999997</v>
      </c>
      <c r="H387" s="13">
        <v>21</v>
      </c>
      <c r="I387" s="13">
        <v>0</v>
      </c>
      <c r="J387" s="13">
        <f t="shared" si="120"/>
        <v>21</v>
      </c>
      <c r="K387" s="13">
        <f t="shared" si="121"/>
        <v>3749.3399999999997</v>
      </c>
      <c r="L387" s="13">
        <f t="shared" si="122"/>
        <v>0</v>
      </c>
      <c r="M387" s="107">
        <f t="shared" si="123"/>
        <v>3749.3399999999997</v>
      </c>
      <c r="N387" s="103">
        <f t="shared" si="124"/>
        <v>1</v>
      </c>
    </row>
    <row r="388" spans="1:14" ht="24" customHeight="1" x14ac:dyDescent="0.2">
      <c r="A388" s="106" t="s">
        <v>740</v>
      </c>
      <c r="B388" s="11" t="s">
        <v>741</v>
      </c>
      <c r="C388" s="12" t="s">
        <v>31</v>
      </c>
      <c r="D388" s="13">
        <v>375</v>
      </c>
      <c r="E388" s="13">
        <f>[1]CPUs!I3297</f>
        <v>1.62</v>
      </c>
      <c r="F388" s="13">
        <v>2</v>
      </c>
      <c r="G388" s="13">
        <f t="shared" si="125"/>
        <v>750</v>
      </c>
      <c r="H388" s="13">
        <v>375</v>
      </c>
      <c r="I388" s="13">
        <v>0</v>
      </c>
      <c r="J388" s="13">
        <f t="shared" si="120"/>
        <v>375</v>
      </c>
      <c r="K388" s="13">
        <f>(H388*F388)</f>
        <v>750</v>
      </c>
      <c r="L388" s="13">
        <f t="shared" si="122"/>
        <v>0</v>
      </c>
      <c r="M388" s="107">
        <f>(J388*F388)</f>
        <v>750</v>
      </c>
      <c r="N388" s="103">
        <f t="shared" si="124"/>
        <v>1</v>
      </c>
    </row>
    <row r="389" spans="1:14" ht="65.099999999999994" customHeight="1" x14ac:dyDescent="0.2">
      <c r="A389" s="106" t="s">
        <v>742</v>
      </c>
      <c r="B389" s="11" t="s">
        <v>743</v>
      </c>
      <c r="C389" s="12" t="s">
        <v>744</v>
      </c>
      <c r="D389" s="13">
        <v>220</v>
      </c>
      <c r="E389" s="13">
        <f>[1]CPUs!I3304</f>
        <v>113.83</v>
      </c>
      <c r="F389" s="13">
        <v>140.72</v>
      </c>
      <c r="G389" s="13">
        <f t="shared" si="125"/>
        <v>30958.400000000001</v>
      </c>
      <c r="H389" s="13">
        <v>220</v>
      </c>
      <c r="I389" s="13">
        <v>0</v>
      </c>
      <c r="J389" s="13">
        <f t="shared" si="120"/>
        <v>220</v>
      </c>
      <c r="K389" s="13">
        <f t="shared" si="121"/>
        <v>30958.400000000001</v>
      </c>
      <c r="L389" s="13">
        <f t="shared" si="122"/>
        <v>0</v>
      </c>
      <c r="M389" s="107">
        <f t="shared" si="123"/>
        <v>30958.400000000001</v>
      </c>
      <c r="N389" s="103">
        <f t="shared" si="124"/>
        <v>1</v>
      </c>
    </row>
    <row r="390" spans="1:14" ht="26.1" customHeight="1" x14ac:dyDescent="0.2">
      <c r="A390" s="106" t="s">
        <v>745</v>
      </c>
      <c r="B390" s="11" t="s">
        <v>746</v>
      </c>
      <c r="C390" s="12" t="s">
        <v>59</v>
      </c>
      <c r="D390" s="13">
        <v>25.3</v>
      </c>
      <c r="E390" s="13">
        <f>[1]CPUs!I3314</f>
        <v>490.52</v>
      </c>
      <c r="F390" s="13">
        <v>606.41999999999996</v>
      </c>
      <c r="G390" s="13">
        <f>(F390*D390)</f>
        <v>15342.425999999999</v>
      </c>
      <c r="H390" s="13">
        <v>25.3</v>
      </c>
      <c r="I390" s="13">
        <v>0</v>
      </c>
      <c r="J390" s="13">
        <f t="shared" si="120"/>
        <v>25.3</v>
      </c>
      <c r="K390" s="13">
        <f>(H390*F390)</f>
        <v>15342.425999999999</v>
      </c>
      <c r="L390" s="13">
        <f t="shared" si="122"/>
        <v>0</v>
      </c>
      <c r="M390" s="107">
        <f>(J390*F390)</f>
        <v>15342.425999999999</v>
      </c>
      <c r="N390" s="103">
        <f t="shared" si="124"/>
        <v>1</v>
      </c>
    </row>
    <row r="391" spans="1:14" ht="51.95" hidden="1" customHeight="1" x14ac:dyDescent="0.2">
      <c r="A391" s="106" t="s">
        <v>747</v>
      </c>
      <c r="B391" s="11" t="s">
        <v>748</v>
      </c>
      <c r="C391" s="12" t="s">
        <v>744</v>
      </c>
      <c r="D391" s="13">
        <v>220</v>
      </c>
      <c r="E391" s="13">
        <f>[1]CPUs!I3322</f>
        <v>10.24</v>
      </c>
      <c r="F391" s="13">
        <v>12.65</v>
      </c>
      <c r="G391" s="13">
        <f t="shared" si="125"/>
        <v>2783</v>
      </c>
      <c r="H391" s="13">
        <v>0</v>
      </c>
      <c r="I391" s="13">
        <v>0</v>
      </c>
      <c r="J391" s="13">
        <f t="shared" si="120"/>
        <v>0</v>
      </c>
      <c r="K391" s="13">
        <f t="shared" si="121"/>
        <v>0</v>
      </c>
      <c r="L391" s="13">
        <f t="shared" si="122"/>
        <v>0</v>
      </c>
      <c r="M391" s="107">
        <f t="shared" si="123"/>
        <v>0</v>
      </c>
      <c r="N391" s="103">
        <f t="shared" si="124"/>
        <v>0</v>
      </c>
    </row>
    <row r="392" spans="1:14" ht="26.1" customHeight="1" x14ac:dyDescent="0.2">
      <c r="A392" s="106" t="s">
        <v>749</v>
      </c>
      <c r="B392" s="11" t="s">
        <v>750</v>
      </c>
      <c r="C392" s="12" t="s">
        <v>31</v>
      </c>
      <c r="D392" s="13">
        <v>152.88999999999999</v>
      </c>
      <c r="E392" s="13">
        <f>[1]CPUs!I3331</f>
        <v>2.63</v>
      </c>
      <c r="F392" s="13">
        <v>3.25</v>
      </c>
      <c r="G392" s="13">
        <f t="shared" si="125"/>
        <v>496.89249999999993</v>
      </c>
      <c r="H392" s="13">
        <v>152.88999999999999</v>
      </c>
      <c r="I392" s="13">
        <v>0</v>
      </c>
      <c r="J392" s="13">
        <f t="shared" si="120"/>
        <v>152.88999999999999</v>
      </c>
      <c r="K392" s="13">
        <f t="shared" si="121"/>
        <v>496.89249999999993</v>
      </c>
      <c r="L392" s="13">
        <f t="shared" si="122"/>
        <v>0</v>
      </c>
      <c r="M392" s="107">
        <f t="shared" si="123"/>
        <v>496.89249999999993</v>
      </c>
      <c r="N392" s="103">
        <f t="shared" si="124"/>
        <v>1</v>
      </c>
    </row>
    <row r="393" spans="1:14" ht="26.1" customHeight="1" x14ac:dyDescent="0.2">
      <c r="A393" s="106" t="s">
        <v>751</v>
      </c>
      <c r="B393" s="11" t="s">
        <v>752</v>
      </c>
      <c r="C393" s="12" t="s">
        <v>31</v>
      </c>
      <c r="D393" s="13">
        <v>15</v>
      </c>
      <c r="E393" s="13">
        <f>[1]CPUs!I3338</f>
        <v>7.34</v>
      </c>
      <c r="F393" s="13">
        <v>9.07</v>
      </c>
      <c r="G393" s="13">
        <f t="shared" si="125"/>
        <v>136.05000000000001</v>
      </c>
      <c r="H393" s="13">
        <v>15</v>
      </c>
      <c r="I393" s="13">
        <v>0</v>
      </c>
      <c r="J393" s="13">
        <f t="shared" si="120"/>
        <v>15</v>
      </c>
      <c r="K393" s="13">
        <f t="shared" si="121"/>
        <v>136.05000000000001</v>
      </c>
      <c r="L393" s="13">
        <f t="shared" si="122"/>
        <v>0</v>
      </c>
      <c r="M393" s="107">
        <f t="shared" si="123"/>
        <v>136.05000000000001</v>
      </c>
      <c r="N393" s="103">
        <f t="shared" si="124"/>
        <v>1</v>
      </c>
    </row>
    <row r="394" spans="1:14" ht="26.1" customHeight="1" x14ac:dyDescent="0.2">
      <c r="A394" s="106" t="s">
        <v>753</v>
      </c>
      <c r="B394" s="11" t="s">
        <v>754</v>
      </c>
      <c r="C394" s="12" t="s">
        <v>59</v>
      </c>
      <c r="D394" s="13">
        <v>182.4</v>
      </c>
      <c r="E394" s="13">
        <f>[1]CPUs!I3345</f>
        <v>84.77</v>
      </c>
      <c r="F394" s="13">
        <v>104.8</v>
      </c>
      <c r="G394" s="13">
        <f t="shared" si="125"/>
        <v>19115.52</v>
      </c>
      <c r="H394" s="13">
        <v>182.4</v>
      </c>
      <c r="I394" s="13">
        <v>0</v>
      </c>
      <c r="J394" s="13">
        <f t="shared" si="120"/>
        <v>182.4</v>
      </c>
      <c r="K394" s="13">
        <f t="shared" si="121"/>
        <v>19115.52</v>
      </c>
      <c r="L394" s="13">
        <f t="shared" si="122"/>
        <v>0</v>
      </c>
      <c r="M394" s="107">
        <f t="shared" si="123"/>
        <v>19115.52</v>
      </c>
      <c r="N394" s="103">
        <f t="shared" si="124"/>
        <v>1</v>
      </c>
    </row>
    <row r="395" spans="1:14" ht="31.5" customHeight="1" x14ac:dyDescent="0.2">
      <c r="A395" s="110" t="s">
        <v>866</v>
      </c>
      <c r="B395" s="55" t="s">
        <v>867</v>
      </c>
      <c r="C395" s="56" t="s">
        <v>871</v>
      </c>
      <c r="D395" s="57">
        <v>134899.19999999998</v>
      </c>
      <c r="E395" s="57">
        <v>134899.19999999998</v>
      </c>
      <c r="F395" s="67">
        <v>0.97</v>
      </c>
      <c r="G395" s="13">
        <f t="shared" si="125"/>
        <v>130852.22399999997</v>
      </c>
      <c r="H395" s="13">
        <v>134899.19999999998</v>
      </c>
      <c r="I395" s="13">
        <v>0</v>
      </c>
      <c r="J395" s="13">
        <f t="shared" si="120"/>
        <v>134899.19999999998</v>
      </c>
      <c r="K395" s="13">
        <f t="shared" si="121"/>
        <v>130852.22399999997</v>
      </c>
      <c r="L395" s="13">
        <f t="shared" si="122"/>
        <v>0</v>
      </c>
      <c r="M395" s="107">
        <f t="shared" si="123"/>
        <v>130852.22399999997</v>
      </c>
      <c r="N395" s="103">
        <f t="shared" si="124"/>
        <v>1</v>
      </c>
    </row>
    <row r="396" spans="1:14" ht="24" customHeight="1" x14ac:dyDescent="0.2">
      <c r="A396" s="108" t="s">
        <v>755</v>
      </c>
      <c r="B396" s="16" t="s">
        <v>756</v>
      </c>
      <c r="C396" s="16"/>
      <c r="D396" s="19"/>
      <c r="E396" s="19"/>
      <c r="F396" s="19"/>
      <c r="G396" s="20">
        <f>SUM(G397:G406)</f>
        <v>207421.97350000002</v>
      </c>
      <c r="H396" s="20"/>
      <c r="I396" s="19"/>
      <c r="J396" s="20"/>
      <c r="K396" s="20">
        <v>139491</v>
      </c>
      <c r="L396" s="20">
        <f>SUM(L397:L406)</f>
        <v>0</v>
      </c>
      <c r="M396" s="109">
        <v>139491</v>
      </c>
      <c r="N396" s="102">
        <f t="shared" si="124"/>
        <v>0.67249866369630307</v>
      </c>
    </row>
    <row r="397" spans="1:14" ht="26.1" customHeight="1" x14ac:dyDescent="0.2">
      <c r="A397" s="106" t="s">
        <v>757</v>
      </c>
      <c r="B397" s="11" t="s">
        <v>758</v>
      </c>
      <c r="C397" s="12" t="s">
        <v>59</v>
      </c>
      <c r="D397" s="13">
        <v>17.18</v>
      </c>
      <c r="E397" s="13">
        <f>[1]CPUs!I3352</f>
        <v>568.28</v>
      </c>
      <c r="F397" s="13">
        <v>702.56</v>
      </c>
      <c r="G397" s="13">
        <f>D397*F397</f>
        <v>12069.980799999999</v>
      </c>
      <c r="H397" s="13">
        <v>9.5939999999999994</v>
      </c>
      <c r="I397" s="13">
        <v>0</v>
      </c>
      <c r="J397" s="13">
        <f t="shared" ref="J397:J406" si="126">H397+I397</f>
        <v>9.5939999999999994</v>
      </c>
      <c r="K397" s="13">
        <f t="shared" ref="K397:K406" si="127">H397*F397</f>
        <v>6740.360639999999</v>
      </c>
      <c r="L397" s="13">
        <f t="shared" ref="L397:L406" si="128">I397*F397</f>
        <v>0</v>
      </c>
      <c r="M397" s="107">
        <f t="shared" ref="M397:M406" si="129">J397*F397</f>
        <v>6740.360639999999</v>
      </c>
      <c r="N397" s="103">
        <f t="shared" si="124"/>
        <v>0.55844004656577406</v>
      </c>
    </row>
    <row r="398" spans="1:14" ht="39" hidden="1" customHeight="1" x14ac:dyDescent="0.2">
      <c r="A398" s="106" t="s">
        <v>759</v>
      </c>
      <c r="B398" s="11" t="s">
        <v>760</v>
      </c>
      <c r="C398" s="12" t="s">
        <v>79</v>
      </c>
      <c r="D398" s="13">
        <v>3696.22</v>
      </c>
      <c r="E398" s="13">
        <f>[1]CPUs!I3360</f>
        <v>12.65</v>
      </c>
      <c r="F398" s="13">
        <v>15.63</v>
      </c>
      <c r="G398" s="13">
        <f>(F398*D398)</f>
        <v>57771.918599999997</v>
      </c>
      <c r="H398" s="13">
        <v>0</v>
      </c>
      <c r="I398" s="13">
        <v>0</v>
      </c>
      <c r="J398" s="13">
        <f t="shared" si="126"/>
        <v>0</v>
      </c>
      <c r="K398" s="13">
        <f t="shared" si="127"/>
        <v>0</v>
      </c>
      <c r="L398" s="13">
        <f t="shared" si="128"/>
        <v>0</v>
      </c>
      <c r="M398" s="107">
        <f t="shared" si="129"/>
        <v>0</v>
      </c>
      <c r="N398" s="103">
        <f t="shared" si="124"/>
        <v>0</v>
      </c>
    </row>
    <row r="399" spans="1:14" ht="26.1" hidden="1" customHeight="1" x14ac:dyDescent="0.2">
      <c r="A399" s="106" t="s">
        <v>761</v>
      </c>
      <c r="B399" s="11" t="s">
        <v>762</v>
      </c>
      <c r="C399" s="12" t="s">
        <v>79</v>
      </c>
      <c r="D399" s="13">
        <v>179.25</v>
      </c>
      <c r="E399" s="13">
        <f>[1]CPUs!I3370</f>
        <v>13.29</v>
      </c>
      <c r="F399" s="13">
        <v>16.43</v>
      </c>
      <c r="G399" s="13">
        <f>(F399*D399)</f>
        <v>2945.0774999999999</v>
      </c>
      <c r="H399" s="13">
        <v>0</v>
      </c>
      <c r="I399" s="13">
        <v>0</v>
      </c>
      <c r="J399" s="13">
        <f t="shared" si="126"/>
        <v>0</v>
      </c>
      <c r="K399" s="13">
        <f t="shared" si="127"/>
        <v>0</v>
      </c>
      <c r="L399" s="13">
        <f t="shared" si="128"/>
        <v>0</v>
      </c>
      <c r="M399" s="107">
        <f t="shared" si="129"/>
        <v>0</v>
      </c>
      <c r="N399" s="103">
        <f t="shared" si="124"/>
        <v>0</v>
      </c>
    </row>
    <row r="400" spans="1:14" ht="39" customHeight="1" x14ac:dyDescent="0.2">
      <c r="A400" s="106" t="s">
        <v>763</v>
      </c>
      <c r="B400" s="11" t="s">
        <v>764</v>
      </c>
      <c r="C400" s="12" t="s">
        <v>59</v>
      </c>
      <c r="D400" s="13">
        <v>2.39</v>
      </c>
      <c r="E400" s="13">
        <f>[1]CPUs!I3380</f>
        <v>624.55999999999995</v>
      </c>
      <c r="F400" s="13">
        <v>772.14</v>
      </c>
      <c r="G400" s="13">
        <f t="shared" ref="G400:G406" si="130">D400*F400</f>
        <v>1845.4146000000001</v>
      </c>
      <c r="H400" s="13">
        <v>0.216</v>
      </c>
      <c r="I400" s="13">
        <v>0</v>
      </c>
      <c r="J400" s="13">
        <f t="shared" si="126"/>
        <v>0.216</v>
      </c>
      <c r="K400" s="13">
        <f t="shared" si="127"/>
        <v>166.78224</v>
      </c>
      <c r="L400" s="13">
        <f t="shared" si="128"/>
        <v>0</v>
      </c>
      <c r="M400" s="107">
        <f t="shared" si="129"/>
        <v>166.78224</v>
      </c>
      <c r="N400" s="103">
        <f t="shared" si="124"/>
        <v>9.0376569037656895E-2</v>
      </c>
    </row>
    <row r="401" spans="1:14" ht="51.95" hidden="1" customHeight="1" x14ac:dyDescent="0.2">
      <c r="A401" s="106" t="s">
        <v>765</v>
      </c>
      <c r="B401" s="11" t="s">
        <v>766</v>
      </c>
      <c r="C401" s="12" t="s">
        <v>31</v>
      </c>
      <c r="D401" s="13">
        <v>0</v>
      </c>
      <c r="E401" s="13">
        <f>[1]CPUs!I3390</f>
        <v>167.33</v>
      </c>
      <c r="F401" s="13">
        <f>[1]CPUs!J3400</f>
        <v>206.87</v>
      </c>
      <c r="G401" s="13">
        <f>(F401*D401)</f>
        <v>0</v>
      </c>
      <c r="H401" s="13">
        <v>0</v>
      </c>
      <c r="I401" s="13">
        <v>0</v>
      </c>
      <c r="J401" s="13">
        <f t="shared" si="126"/>
        <v>0</v>
      </c>
      <c r="K401" s="13">
        <f t="shared" si="127"/>
        <v>0</v>
      </c>
      <c r="L401" s="13">
        <f t="shared" si="128"/>
        <v>0</v>
      </c>
      <c r="M401" s="107">
        <f t="shared" si="129"/>
        <v>0</v>
      </c>
      <c r="N401" s="103" t="e">
        <f t="shared" si="124"/>
        <v>#DIV/0!</v>
      </c>
    </row>
    <row r="402" spans="1:14" ht="39" hidden="1" customHeight="1" x14ac:dyDescent="0.2">
      <c r="A402" s="106" t="s">
        <v>767</v>
      </c>
      <c r="B402" s="11" t="s">
        <v>131</v>
      </c>
      <c r="C402" s="12" t="s">
        <v>59</v>
      </c>
      <c r="D402" s="57">
        <v>0</v>
      </c>
      <c r="E402" s="13">
        <f>[1]CPUs!I3403</f>
        <v>639.05999999999995</v>
      </c>
      <c r="F402" s="13">
        <f>[1]CPUs!J3411</f>
        <v>790.06</v>
      </c>
      <c r="G402" s="13">
        <f>(F402*D402)</f>
        <v>0</v>
      </c>
      <c r="H402" s="13">
        <v>0</v>
      </c>
      <c r="I402" s="13">
        <v>0</v>
      </c>
      <c r="J402" s="13">
        <f t="shared" si="126"/>
        <v>0</v>
      </c>
      <c r="K402" s="13">
        <f t="shared" si="127"/>
        <v>0</v>
      </c>
      <c r="L402" s="13">
        <f t="shared" si="128"/>
        <v>0</v>
      </c>
      <c r="M402" s="107">
        <f t="shared" si="129"/>
        <v>0</v>
      </c>
      <c r="N402" s="103" t="e">
        <f t="shared" si="124"/>
        <v>#DIV/0!</v>
      </c>
    </row>
    <row r="403" spans="1:14" ht="26.1" hidden="1" customHeight="1" x14ac:dyDescent="0.2">
      <c r="A403" s="106" t="s">
        <v>768</v>
      </c>
      <c r="B403" s="11" t="s">
        <v>265</v>
      </c>
      <c r="C403" s="12" t="s">
        <v>31</v>
      </c>
      <c r="D403" s="13">
        <v>60.82</v>
      </c>
      <c r="E403" s="13">
        <f>[1]CPUs!I3415</f>
        <v>2.74</v>
      </c>
      <c r="F403" s="13">
        <v>3.38</v>
      </c>
      <c r="G403" s="13">
        <f t="shared" si="130"/>
        <v>205.57159999999999</v>
      </c>
      <c r="H403" s="13">
        <v>0</v>
      </c>
      <c r="I403" s="13">
        <v>0</v>
      </c>
      <c r="J403" s="13">
        <f t="shared" si="126"/>
        <v>0</v>
      </c>
      <c r="K403" s="13">
        <f t="shared" si="127"/>
        <v>0</v>
      </c>
      <c r="L403" s="13">
        <f t="shared" si="128"/>
        <v>0</v>
      </c>
      <c r="M403" s="107">
        <f t="shared" si="129"/>
        <v>0</v>
      </c>
      <c r="N403" s="103">
        <f t="shared" si="124"/>
        <v>0</v>
      </c>
    </row>
    <row r="404" spans="1:14" ht="18.75" customHeight="1" x14ac:dyDescent="0.2">
      <c r="A404" s="110" t="s">
        <v>868</v>
      </c>
      <c r="B404" s="55" t="s">
        <v>860</v>
      </c>
      <c r="C404" s="56" t="s">
        <v>31</v>
      </c>
      <c r="D404" s="57">
        <v>445.48</v>
      </c>
      <c r="E404" s="57">
        <v>445.48</v>
      </c>
      <c r="F404" s="67">
        <v>159.19</v>
      </c>
      <c r="G404" s="13">
        <f t="shared" si="130"/>
        <v>70915.961200000005</v>
      </c>
      <c r="H404" s="13">
        <v>445.48</v>
      </c>
      <c r="I404" s="13">
        <v>0</v>
      </c>
      <c r="J404" s="13">
        <f t="shared" si="126"/>
        <v>445.48</v>
      </c>
      <c r="K404" s="13">
        <f t="shared" si="127"/>
        <v>70915.961200000005</v>
      </c>
      <c r="L404" s="13">
        <f t="shared" si="128"/>
        <v>0</v>
      </c>
      <c r="M404" s="107">
        <f t="shared" si="129"/>
        <v>70915.961200000005</v>
      </c>
      <c r="N404" s="103">
        <f t="shared" si="124"/>
        <v>1</v>
      </c>
    </row>
    <row r="405" spans="1:14" ht="42" customHeight="1" x14ac:dyDescent="0.2">
      <c r="A405" s="110" t="s">
        <v>869</v>
      </c>
      <c r="B405" s="55" t="s">
        <v>862</v>
      </c>
      <c r="C405" s="56" t="s">
        <v>59</v>
      </c>
      <c r="D405" s="57">
        <v>45.8</v>
      </c>
      <c r="E405" s="57">
        <v>45.8</v>
      </c>
      <c r="F405" s="67">
        <v>641.38</v>
      </c>
      <c r="G405" s="13">
        <f t="shared" si="130"/>
        <v>29375.203999999998</v>
      </c>
      <c r="H405" s="13">
        <v>45.8</v>
      </c>
      <c r="I405" s="13">
        <v>0</v>
      </c>
      <c r="J405" s="13">
        <f t="shared" si="126"/>
        <v>45.8</v>
      </c>
      <c r="K405" s="13">
        <f t="shared" si="127"/>
        <v>29375.203999999998</v>
      </c>
      <c r="L405" s="13">
        <f t="shared" si="128"/>
        <v>0</v>
      </c>
      <c r="M405" s="107">
        <f t="shared" si="129"/>
        <v>29375.203999999998</v>
      </c>
      <c r="N405" s="103">
        <f t="shared" si="124"/>
        <v>1</v>
      </c>
    </row>
    <row r="406" spans="1:14" ht="39" customHeight="1" x14ac:dyDescent="0.2">
      <c r="A406" s="110" t="s">
        <v>870</v>
      </c>
      <c r="B406" s="55" t="s">
        <v>864</v>
      </c>
      <c r="C406" s="56" t="s">
        <v>31</v>
      </c>
      <c r="D406" s="57">
        <v>445.48</v>
      </c>
      <c r="E406" s="57">
        <v>445.48</v>
      </c>
      <c r="F406" s="67">
        <v>72.489999999999995</v>
      </c>
      <c r="G406" s="13">
        <f t="shared" si="130"/>
        <v>32292.8452</v>
      </c>
      <c r="H406" s="57">
        <v>445.48</v>
      </c>
      <c r="I406" s="13">
        <v>0</v>
      </c>
      <c r="J406" s="13">
        <f t="shared" si="126"/>
        <v>445.48</v>
      </c>
      <c r="K406" s="13">
        <f t="shared" si="127"/>
        <v>32292.8452</v>
      </c>
      <c r="L406" s="13">
        <f t="shared" si="128"/>
        <v>0</v>
      </c>
      <c r="M406" s="107">
        <f t="shared" si="129"/>
        <v>32292.8452</v>
      </c>
      <c r="N406" s="103">
        <f t="shared" si="124"/>
        <v>1</v>
      </c>
    </row>
    <row r="407" spans="1:14" ht="24" hidden="1" customHeight="1" x14ac:dyDescent="0.2">
      <c r="A407" s="108" t="s">
        <v>769</v>
      </c>
      <c r="B407" s="16" t="s">
        <v>770</v>
      </c>
      <c r="C407" s="16"/>
      <c r="D407" s="20"/>
      <c r="E407" s="19"/>
      <c r="F407" s="19"/>
      <c r="G407" s="20">
        <f>SUM(G408:G411)</f>
        <v>20039.935600000001</v>
      </c>
      <c r="H407" s="20"/>
      <c r="I407" s="19"/>
      <c r="J407" s="20"/>
      <c r="K407" s="20">
        <f>SUM(K408:K411)</f>
        <v>0</v>
      </c>
      <c r="L407" s="20">
        <f>SUM(L408:L411)</f>
        <v>0</v>
      </c>
      <c r="M407" s="109">
        <f>SUM(M408:M411)</f>
        <v>0</v>
      </c>
      <c r="N407" s="102">
        <f t="shared" si="124"/>
        <v>0</v>
      </c>
    </row>
    <row r="408" spans="1:14" ht="51.95" hidden="1" customHeight="1" x14ac:dyDescent="0.2">
      <c r="A408" s="106" t="s">
        <v>771</v>
      </c>
      <c r="B408" s="11" t="s">
        <v>772</v>
      </c>
      <c r="C408" s="12" t="s">
        <v>31</v>
      </c>
      <c r="D408" s="13">
        <v>60.82</v>
      </c>
      <c r="E408" s="13">
        <f>[1]CPUs!I3433</f>
        <v>62.14</v>
      </c>
      <c r="F408" s="13">
        <v>76.819999999999993</v>
      </c>
      <c r="G408" s="13">
        <f>D408*F408</f>
        <v>4672.1923999999999</v>
      </c>
      <c r="H408" s="13">
        <v>0</v>
      </c>
      <c r="I408" s="13">
        <v>0</v>
      </c>
      <c r="J408" s="13">
        <f>H408+I408</f>
        <v>0</v>
      </c>
      <c r="K408" s="13">
        <f>H408*F408</f>
        <v>0</v>
      </c>
      <c r="L408" s="13">
        <f>I408*F408</f>
        <v>0</v>
      </c>
      <c r="M408" s="107">
        <f>J408*F408</f>
        <v>0</v>
      </c>
      <c r="N408" s="103">
        <f t="shared" si="124"/>
        <v>0</v>
      </c>
    </row>
    <row r="409" spans="1:14" ht="39" hidden="1" customHeight="1" x14ac:dyDescent="0.2">
      <c r="A409" s="106" t="s">
        <v>773</v>
      </c>
      <c r="B409" s="11" t="s">
        <v>774</v>
      </c>
      <c r="C409" s="12" t="s">
        <v>31</v>
      </c>
      <c r="D409" s="13">
        <v>109.6</v>
      </c>
      <c r="E409" s="13">
        <f>[1]CPUs!I3448</f>
        <v>42.08</v>
      </c>
      <c r="F409" s="13">
        <v>52.02</v>
      </c>
      <c r="G409" s="13">
        <f>D409*F409</f>
        <v>5701.3919999999998</v>
      </c>
      <c r="H409" s="13">
        <v>0</v>
      </c>
      <c r="I409" s="13">
        <v>0</v>
      </c>
      <c r="J409" s="13">
        <f>H409+I409</f>
        <v>0</v>
      </c>
      <c r="K409" s="13">
        <f>H409*F409</f>
        <v>0</v>
      </c>
      <c r="L409" s="13">
        <f>I409*F409</f>
        <v>0</v>
      </c>
      <c r="M409" s="107">
        <f>J409*F409</f>
        <v>0</v>
      </c>
      <c r="N409" s="103">
        <f t="shared" si="124"/>
        <v>0</v>
      </c>
    </row>
    <row r="410" spans="1:14" ht="39" hidden="1" customHeight="1" x14ac:dyDescent="0.2">
      <c r="A410" s="106" t="s">
        <v>775</v>
      </c>
      <c r="B410" s="11" t="s">
        <v>776</v>
      </c>
      <c r="C410" s="12" t="s">
        <v>28</v>
      </c>
      <c r="D410" s="13">
        <v>3</v>
      </c>
      <c r="E410" s="13">
        <f>[1]CPUs!I3458</f>
        <v>2509.83</v>
      </c>
      <c r="F410" s="13">
        <v>3102.9</v>
      </c>
      <c r="G410" s="13">
        <f>D410*F410</f>
        <v>9308.7000000000007</v>
      </c>
      <c r="H410" s="13">
        <v>0</v>
      </c>
      <c r="I410" s="13">
        <v>0</v>
      </c>
      <c r="J410" s="13">
        <f>H410+I410</f>
        <v>0</v>
      </c>
      <c r="K410" s="13">
        <f>H410*F410</f>
        <v>0</v>
      </c>
      <c r="L410" s="13">
        <f>I410*F410</f>
        <v>0</v>
      </c>
      <c r="M410" s="107">
        <f>J410*F410</f>
        <v>0</v>
      </c>
      <c r="N410" s="103">
        <f t="shared" si="124"/>
        <v>0</v>
      </c>
    </row>
    <row r="411" spans="1:14" ht="26.1" hidden="1" customHeight="1" x14ac:dyDescent="0.2">
      <c r="A411" s="106" t="s">
        <v>777</v>
      </c>
      <c r="B411" s="11" t="s">
        <v>778</v>
      </c>
      <c r="C411" s="12" t="s">
        <v>46</v>
      </c>
      <c r="D411" s="13">
        <v>13.63</v>
      </c>
      <c r="E411" s="13">
        <f>[1]CPUs!I3475</f>
        <v>21.23</v>
      </c>
      <c r="F411" s="13">
        <v>26.24</v>
      </c>
      <c r="G411" s="13">
        <f>D411*F411</f>
        <v>357.65120000000002</v>
      </c>
      <c r="H411" s="13">
        <v>0</v>
      </c>
      <c r="I411" s="13">
        <v>0</v>
      </c>
      <c r="J411" s="13">
        <f>H411+I411</f>
        <v>0</v>
      </c>
      <c r="K411" s="13">
        <f>H411*F411</f>
        <v>0</v>
      </c>
      <c r="L411" s="13">
        <f>I411*F411</f>
        <v>0</v>
      </c>
      <c r="M411" s="107">
        <f>J411*F411</f>
        <v>0</v>
      </c>
      <c r="N411" s="103">
        <f t="shared" si="124"/>
        <v>0</v>
      </c>
    </row>
    <row r="412" spans="1:14" ht="24" customHeight="1" x14ac:dyDescent="0.2">
      <c r="A412" s="108" t="s">
        <v>779</v>
      </c>
      <c r="B412" s="16" t="s">
        <v>693</v>
      </c>
      <c r="C412" s="16"/>
      <c r="D412" s="20"/>
      <c r="E412" s="19"/>
      <c r="F412" s="19"/>
      <c r="G412" s="20">
        <f>SUM(G413:G423)</f>
        <v>64856.640014118551</v>
      </c>
      <c r="H412" s="20"/>
      <c r="I412" s="19"/>
      <c r="J412" s="20"/>
      <c r="K412" s="20">
        <f>SUM(K413:K423)</f>
        <v>58875.700013927395</v>
      </c>
      <c r="L412" s="20">
        <f>SUM(L413:L423)</f>
        <v>0</v>
      </c>
      <c r="M412" s="109">
        <f>SUM(M413:M423)</f>
        <v>58875.700013927395</v>
      </c>
      <c r="N412" s="102">
        <f t="shared" si="124"/>
        <v>0.90778214846021665</v>
      </c>
    </row>
    <row r="413" spans="1:14" ht="39" hidden="1" customHeight="1" x14ac:dyDescent="0.2">
      <c r="A413" s="106" t="s">
        <v>780</v>
      </c>
      <c r="B413" s="11" t="s">
        <v>781</v>
      </c>
      <c r="C413" s="12" t="s">
        <v>28</v>
      </c>
      <c r="D413" s="13">
        <v>1</v>
      </c>
      <c r="E413" s="13">
        <f>[1]CPUs!I3483</f>
        <v>431.82557899999995</v>
      </c>
      <c r="F413" s="13">
        <v>533.86596331769988</v>
      </c>
      <c r="G413" s="13">
        <f>(F413*D413)</f>
        <v>533.86596331769988</v>
      </c>
      <c r="H413" s="13">
        <v>0</v>
      </c>
      <c r="I413" s="13">
        <v>0</v>
      </c>
      <c r="J413" s="13">
        <f t="shared" ref="J413:J423" si="131">H413+I413</f>
        <v>0</v>
      </c>
      <c r="K413" s="13">
        <f t="shared" ref="K413:K423" si="132">H413*F413</f>
        <v>0</v>
      </c>
      <c r="L413" s="13">
        <f t="shared" ref="L413:L423" si="133">I413*F413</f>
        <v>0</v>
      </c>
      <c r="M413" s="107">
        <f t="shared" ref="M413:M423" si="134">J413*F413</f>
        <v>0</v>
      </c>
      <c r="N413" s="103">
        <f t="shared" si="124"/>
        <v>0</v>
      </c>
    </row>
    <row r="414" spans="1:14" ht="39" hidden="1" customHeight="1" x14ac:dyDescent="0.2">
      <c r="A414" s="106" t="s">
        <v>782</v>
      </c>
      <c r="B414" s="11" t="s">
        <v>783</v>
      </c>
      <c r="C414" s="12" t="s">
        <v>28</v>
      </c>
      <c r="D414" s="13">
        <v>2</v>
      </c>
      <c r="E414" s="13">
        <f>[1]CPUs!I3495</f>
        <v>462.24</v>
      </c>
      <c r="F414" s="13">
        <v>571.46</v>
      </c>
      <c r="G414" s="13">
        <f t="shared" ref="G414:G423" si="135">D414*F414</f>
        <v>1142.92</v>
      </c>
      <c r="H414" s="13">
        <v>0</v>
      </c>
      <c r="I414" s="13">
        <v>0</v>
      </c>
      <c r="J414" s="13">
        <f t="shared" si="131"/>
        <v>0</v>
      </c>
      <c r="K414" s="13">
        <f t="shared" si="132"/>
        <v>0</v>
      </c>
      <c r="L414" s="13">
        <f t="shared" si="133"/>
        <v>0</v>
      </c>
      <c r="M414" s="107">
        <f t="shared" si="134"/>
        <v>0</v>
      </c>
      <c r="N414" s="103">
        <f t="shared" si="124"/>
        <v>0</v>
      </c>
    </row>
    <row r="415" spans="1:14" ht="39" hidden="1" customHeight="1" x14ac:dyDescent="0.2">
      <c r="A415" s="106" t="s">
        <v>784</v>
      </c>
      <c r="B415" s="11" t="s">
        <v>785</v>
      </c>
      <c r="C415" s="12" t="s">
        <v>28</v>
      </c>
      <c r="D415" s="13">
        <v>2</v>
      </c>
      <c r="E415" s="13">
        <f>[1]CPUs!I3503</f>
        <v>117.43</v>
      </c>
      <c r="F415" s="13">
        <v>145.16999999999999</v>
      </c>
      <c r="G415" s="13">
        <f t="shared" si="135"/>
        <v>290.33999999999997</v>
      </c>
      <c r="H415" s="13">
        <v>0</v>
      </c>
      <c r="I415" s="13">
        <v>0</v>
      </c>
      <c r="J415" s="13">
        <f t="shared" si="131"/>
        <v>0</v>
      </c>
      <c r="K415" s="13">
        <f t="shared" si="132"/>
        <v>0</v>
      </c>
      <c r="L415" s="13">
        <f t="shared" si="133"/>
        <v>0</v>
      </c>
      <c r="M415" s="107">
        <f t="shared" si="134"/>
        <v>0</v>
      </c>
      <c r="N415" s="103">
        <f t="shared" si="124"/>
        <v>0</v>
      </c>
    </row>
    <row r="416" spans="1:14" ht="26.1" hidden="1" customHeight="1" x14ac:dyDescent="0.2">
      <c r="A416" s="106" t="s">
        <v>786</v>
      </c>
      <c r="B416" s="11" t="s">
        <v>787</v>
      </c>
      <c r="C416" s="12" t="s">
        <v>28</v>
      </c>
      <c r="D416" s="13">
        <v>1</v>
      </c>
      <c r="E416" s="13">
        <f>[1]CPUs!I3512</f>
        <v>234.54787420000002</v>
      </c>
      <c r="F416" s="13">
        <v>289.97153687346002</v>
      </c>
      <c r="G416" s="13">
        <f t="shared" si="135"/>
        <v>289.97153687346002</v>
      </c>
      <c r="H416" s="13">
        <v>0</v>
      </c>
      <c r="I416" s="13">
        <v>0</v>
      </c>
      <c r="J416" s="13">
        <f t="shared" si="131"/>
        <v>0</v>
      </c>
      <c r="K416" s="13">
        <f t="shared" si="132"/>
        <v>0</v>
      </c>
      <c r="L416" s="13">
        <f t="shared" si="133"/>
        <v>0</v>
      </c>
      <c r="M416" s="107">
        <f t="shared" si="134"/>
        <v>0</v>
      </c>
      <c r="N416" s="103">
        <f t="shared" si="124"/>
        <v>0</v>
      </c>
    </row>
    <row r="417" spans="1:14" ht="51.95" hidden="1" customHeight="1" x14ac:dyDescent="0.2">
      <c r="A417" s="106" t="s">
        <v>788</v>
      </c>
      <c r="B417" s="11" t="s">
        <v>789</v>
      </c>
      <c r="C417" s="12" t="s">
        <v>28</v>
      </c>
      <c r="D417" s="13">
        <v>1</v>
      </c>
      <c r="E417" s="13">
        <f>[1]CPUs!I3524</f>
        <v>217.88</v>
      </c>
      <c r="F417" s="13">
        <v>269.36</v>
      </c>
      <c r="G417" s="13">
        <f t="shared" si="135"/>
        <v>269.36</v>
      </c>
      <c r="H417" s="13">
        <v>0</v>
      </c>
      <c r="I417" s="13">
        <v>0</v>
      </c>
      <c r="J417" s="13">
        <f t="shared" si="131"/>
        <v>0</v>
      </c>
      <c r="K417" s="13">
        <f t="shared" si="132"/>
        <v>0</v>
      </c>
      <c r="L417" s="13">
        <f t="shared" si="133"/>
        <v>0</v>
      </c>
      <c r="M417" s="107">
        <f t="shared" si="134"/>
        <v>0</v>
      </c>
      <c r="N417" s="103">
        <f t="shared" si="124"/>
        <v>0</v>
      </c>
    </row>
    <row r="418" spans="1:14" ht="39" hidden="1" customHeight="1" x14ac:dyDescent="0.2">
      <c r="A418" s="106" t="s">
        <v>790</v>
      </c>
      <c r="B418" s="11" t="s">
        <v>368</v>
      </c>
      <c r="C418" s="12" t="s">
        <v>28</v>
      </c>
      <c r="D418" s="13">
        <v>1</v>
      </c>
      <c r="E418" s="13">
        <f>[1]CPUs!I3532</f>
        <v>129.68</v>
      </c>
      <c r="F418" s="13">
        <v>160.32</v>
      </c>
      <c r="G418" s="13">
        <f t="shared" si="135"/>
        <v>160.32</v>
      </c>
      <c r="H418" s="13">
        <v>0</v>
      </c>
      <c r="I418" s="13">
        <v>0</v>
      </c>
      <c r="J418" s="13">
        <f t="shared" si="131"/>
        <v>0</v>
      </c>
      <c r="K418" s="13">
        <f t="shared" si="132"/>
        <v>0</v>
      </c>
      <c r="L418" s="13">
        <f t="shared" si="133"/>
        <v>0</v>
      </c>
      <c r="M418" s="107">
        <f t="shared" si="134"/>
        <v>0</v>
      </c>
      <c r="N418" s="103">
        <f t="shared" si="124"/>
        <v>0</v>
      </c>
    </row>
    <row r="419" spans="1:14" ht="26.1" customHeight="1" x14ac:dyDescent="0.2">
      <c r="A419" s="106" t="s">
        <v>791</v>
      </c>
      <c r="B419" s="11" t="s">
        <v>792</v>
      </c>
      <c r="C419" s="12" t="s">
        <v>59</v>
      </c>
      <c r="D419" s="13">
        <v>2.58</v>
      </c>
      <c r="E419" s="13">
        <f>[1]CPUs!I3542</f>
        <v>915.49</v>
      </c>
      <c r="F419" s="13">
        <v>1131.82</v>
      </c>
      <c r="G419" s="13">
        <f>(F419*D419)</f>
        <v>2920.0956000000001</v>
      </c>
      <c r="H419" s="13">
        <v>2.58</v>
      </c>
      <c r="I419" s="13">
        <v>0</v>
      </c>
      <c r="J419" s="13">
        <f t="shared" si="131"/>
        <v>2.58</v>
      </c>
      <c r="K419" s="13">
        <f t="shared" si="132"/>
        <v>2920.0956000000001</v>
      </c>
      <c r="L419" s="13">
        <f t="shared" si="133"/>
        <v>0</v>
      </c>
      <c r="M419" s="107">
        <f t="shared" si="134"/>
        <v>2920.0956000000001</v>
      </c>
      <c r="N419" s="103">
        <f t="shared" si="124"/>
        <v>1</v>
      </c>
    </row>
    <row r="420" spans="1:14" ht="36" customHeight="1" x14ac:dyDescent="0.2">
      <c r="A420" s="106" t="s">
        <v>793</v>
      </c>
      <c r="B420" s="11" t="s">
        <v>794</v>
      </c>
      <c r="C420" s="12" t="s">
        <v>59</v>
      </c>
      <c r="D420" s="13">
        <v>3.75</v>
      </c>
      <c r="E420" s="13">
        <f>[1]CPUs!I3550</f>
        <v>799.93</v>
      </c>
      <c r="F420" s="13">
        <v>988.95</v>
      </c>
      <c r="G420" s="13">
        <f t="shared" si="135"/>
        <v>3708.5625</v>
      </c>
      <c r="H420" s="13">
        <v>3.2</v>
      </c>
      <c r="I420" s="13">
        <v>0</v>
      </c>
      <c r="J420" s="13">
        <f t="shared" si="131"/>
        <v>3.2</v>
      </c>
      <c r="K420" s="13">
        <f t="shared" si="132"/>
        <v>3164.6400000000003</v>
      </c>
      <c r="L420" s="13">
        <f t="shared" si="133"/>
        <v>0</v>
      </c>
      <c r="M420" s="107">
        <f t="shared" si="134"/>
        <v>3164.6400000000003</v>
      </c>
      <c r="N420" s="103">
        <f t="shared" si="124"/>
        <v>0.85333333333333339</v>
      </c>
    </row>
    <row r="421" spans="1:14" ht="26.1" customHeight="1" x14ac:dyDescent="0.2">
      <c r="A421" s="106" t="s">
        <v>795</v>
      </c>
      <c r="B421" s="11" t="s">
        <v>796</v>
      </c>
      <c r="C421" s="12" t="s">
        <v>31</v>
      </c>
      <c r="D421" s="13">
        <v>15.2</v>
      </c>
      <c r="E421" s="13">
        <f>[1]CPUs!I3558</f>
        <v>224.66</v>
      </c>
      <c r="F421" s="13">
        <v>277.74</v>
      </c>
      <c r="G421" s="13">
        <f>(F421*D421)</f>
        <v>4221.6480000000001</v>
      </c>
      <c r="H421" s="13">
        <v>15.2</v>
      </c>
      <c r="I421" s="13">
        <v>0</v>
      </c>
      <c r="J421" s="13">
        <f t="shared" si="131"/>
        <v>15.2</v>
      </c>
      <c r="K421" s="13">
        <f t="shared" si="132"/>
        <v>4221.6480000000001</v>
      </c>
      <c r="L421" s="13">
        <f t="shared" si="133"/>
        <v>0</v>
      </c>
      <c r="M421" s="107">
        <f t="shared" si="134"/>
        <v>4221.6480000000001</v>
      </c>
      <c r="N421" s="103">
        <f t="shared" si="124"/>
        <v>1</v>
      </c>
    </row>
    <row r="422" spans="1:14" ht="26.1" customHeight="1" x14ac:dyDescent="0.2">
      <c r="A422" s="106" t="s">
        <v>797</v>
      </c>
      <c r="B422" s="11" t="s">
        <v>798</v>
      </c>
      <c r="C422" s="12" t="s">
        <v>31</v>
      </c>
      <c r="D422" s="13">
        <v>89.46</v>
      </c>
      <c r="E422" s="13">
        <f>[1]CPUs!I3568</f>
        <v>439.14629999999994</v>
      </c>
      <c r="F422" s="13">
        <v>542.91657068999996</v>
      </c>
      <c r="G422" s="13">
        <f>(F422*D422)</f>
        <v>48569.316413927394</v>
      </c>
      <c r="H422" s="13">
        <v>89.46</v>
      </c>
      <c r="I422" s="13">
        <v>0</v>
      </c>
      <c r="J422" s="13">
        <f t="shared" si="131"/>
        <v>89.46</v>
      </c>
      <c r="K422" s="13">
        <f t="shared" si="132"/>
        <v>48569.316413927394</v>
      </c>
      <c r="L422" s="13">
        <f t="shared" si="133"/>
        <v>0</v>
      </c>
      <c r="M422" s="107">
        <f t="shared" si="134"/>
        <v>48569.316413927394</v>
      </c>
      <c r="N422" s="103">
        <f t="shared" si="124"/>
        <v>1</v>
      </c>
    </row>
    <row r="423" spans="1:14" ht="26.1" hidden="1" customHeight="1" x14ac:dyDescent="0.2">
      <c r="A423" s="106" t="s">
        <v>799</v>
      </c>
      <c r="B423" s="11" t="s">
        <v>800</v>
      </c>
      <c r="C423" s="12" t="s">
        <v>31</v>
      </c>
      <c r="D423" s="13">
        <v>4</v>
      </c>
      <c r="E423" s="13">
        <f>[1]CPUs!I3582</f>
        <v>556.15</v>
      </c>
      <c r="F423" s="13">
        <v>687.56</v>
      </c>
      <c r="G423" s="13">
        <f t="shared" si="135"/>
        <v>2750.24</v>
      </c>
      <c r="H423" s="13">
        <v>0</v>
      </c>
      <c r="I423" s="13">
        <v>0</v>
      </c>
      <c r="J423" s="13">
        <f t="shared" si="131"/>
        <v>0</v>
      </c>
      <c r="K423" s="13">
        <f t="shared" si="132"/>
        <v>0</v>
      </c>
      <c r="L423" s="13">
        <f t="shared" si="133"/>
        <v>0</v>
      </c>
      <c r="M423" s="107">
        <f t="shared" si="134"/>
        <v>0</v>
      </c>
      <c r="N423" s="103">
        <f t="shared" si="124"/>
        <v>0</v>
      </c>
    </row>
    <row r="424" spans="1:14" ht="24" customHeight="1" x14ac:dyDescent="0.2">
      <c r="A424" s="108" t="s">
        <v>801</v>
      </c>
      <c r="B424" s="16" t="s">
        <v>802</v>
      </c>
      <c r="C424" s="16"/>
      <c r="D424" s="20"/>
      <c r="E424" s="19"/>
      <c r="F424" s="19"/>
      <c r="G424" s="20">
        <f>SUM(G425:G426)</f>
        <v>16807.570899999999</v>
      </c>
      <c r="H424" s="20"/>
      <c r="I424" s="19"/>
      <c r="J424" s="20"/>
      <c r="K424" s="20">
        <f>SUM(K425:K427)</f>
        <v>16807.570899999999</v>
      </c>
      <c r="L424" s="20">
        <f>SUM(L425:L427)</f>
        <v>0</v>
      </c>
      <c r="M424" s="109">
        <f>SUM(M425:M427)</f>
        <v>16807.570899999999</v>
      </c>
      <c r="N424" s="102">
        <f>M424/G424</f>
        <v>1</v>
      </c>
    </row>
    <row r="425" spans="1:14" ht="51.95" customHeight="1" x14ac:dyDescent="0.2">
      <c r="A425" s="106" t="s">
        <v>803</v>
      </c>
      <c r="B425" s="11" t="s">
        <v>804</v>
      </c>
      <c r="C425" s="12" t="s">
        <v>31</v>
      </c>
      <c r="D425" s="13">
        <v>247.89</v>
      </c>
      <c r="E425" s="13">
        <f>[1]CPUs!I3593</f>
        <v>3.73</v>
      </c>
      <c r="F425" s="13">
        <v>4.6100000000000003</v>
      </c>
      <c r="G425" s="13">
        <f>D425*F425</f>
        <v>1142.7728999999999</v>
      </c>
      <c r="H425" s="13">
        <v>247.89</v>
      </c>
      <c r="I425" s="13">
        <v>0</v>
      </c>
      <c r="J425" s="13">
        <f>H425+I425</f>
        <v>247.89</v>
      </c>
      <c r="K425" s="13">
        <f>H425*F425</f>
        <v>1142.7728999999999</v>
      </c>
      <c r="L425" s="13">
        <f>I425*F425</f>
        <v>0</v>
      </c>
      <c r="M425" s="107">
        <f>J425*F425</f>
        <v>1142.7728999999999</v>
      </c>
      <c r="N425" s="103">
        <f t="shared" si="124"/>
        <v>1</v>
      </c>
    </row>
    <row r="426" spans="1:14" ht="65.099999999999994" customHeight="1" x14ac:dyDescent="0.2">
      <c r="A426" s="106" t="s">
        <v>805</v>
      </c>
      <c r="B426" s="11" t="s">
        <v>806</v>
      </c>
      <c r="C426" s="12" t="s">
        <v>31</v>
      </c>
      <c r="D426" s="13">
        <v>185.8</v>
      </c>
      <c r="E426" s="13">
        <f>[1]CPUs!I3601</f>
        <v>68.2</v>
      </c>
      <c r="F426" s="13">
        <v>84.31</v>
      </c>
      <c r="G426" s="13">
        <f>(F426*D426)</f>
        <v>15664.798000000001</v>
      </c>
      <c r="H426" s="13">
        <v>185.8</v>
      </c>
      <c r="I426" s="13">
        <v>0</v>
      </c>
      <c r="J426" s="13">
        <f>H426+I426</f>
        <v>185.8</v>
      </c>
      <c r="K426" s="13">
        <f>H426*F426</f>
        <v>15664.798000000001</v>
      </c>
      <c r="L426" s="13">
        <f>I426*F426</f>
        <v>0</v>
      </c>
      <c r="M426" s="107">
        <f>J426*F426</f>
        <v>15664.798000000001</v>
      </c>
      <c r="N426" s="103">
        <f t="shared" si="124"/>
        <v>1</v>
      </c>
    </row>
    <row r="427" spans="1:14" ht="24" hidden="1" customHeight="1" x14ac:dyDescent="0.2">
      <c r="A427" s="108" t="s">
        <v>807</v>
      </c>
      <c r="B427" s="16" t="s">
        <v>204</v>
      </c>
      <c r="C427" s="16"/>
      <c r="D427" s="20"/>
      <c r="E427" s="19"/>
      <c r="F427" s="19"/>
      <c r="G427" s="20">
        <f>SUM(G428:G432)</f>
        <v>37767.462950067245</v>
      </c>
      <c r="H427" s="20"/>
      <c r="I427" s="19"/>
      <c r="J427" s="20"/>
      <c r="K427" s="20">
        <f>SUM(K428:K432)</f>
        <v>0</v>
      </c>
      <c r="L427" s="20">
        <f>SUM(L428:L432)</f>
        <v>0</v>
      </c>
      <c r="M427" s="109">
        <f>SUM(M428:M432)</f>
        <v>0</v>
      </c>
      <c r="N427" s="102">
        <f>M427/G427</f>
        <v>0</v>
      </c>
    </row>
    <row r="428" spans="1:14" ht="39" hidden="1" customHeight="1" x14ac:dyDescent="0.2">
      <c r="A428" s="106" t="s">
        <v>808</v>
      </c>
      <c r="B428" s="11" t="s">
        <v>216</v>
      </c>
      <c r="C428" s="12" t="s">
        <v>31</v>
      </c>
      <c r="D428" s="13">
        <v>247.89</v>
      </c>
      <c r="E428" s="13">
        <f>[1]CPUs!I3609</f>
        <v>3.5169600000000001</v>
      </c>
      <c r="F428" s="13">
        <v>4.3480176479999999</v>
      </c>
      <c r="G428" s="13">
        <f>D428*F428</f>
        <v>1077.8300947627199</v>
      </c>
      <c r="H428" s="13">
        <v>0</v>
      </c>
      <c r="I428" s="13">
        <v>0</v>
      </c>
      <c r="J428" s="13">
        <f>H428+I428</f>
        <v>0</v>
      </c>
      <c r="K428" s="13">
        <f>H428*F428</f>
        <v>0</v>
      </c>
      <c r="L428" s="13">
        <f>I428*F428</f>
        <v>0</v>
      </c>
      <c r="M428" s="107">
        <f>J428*F428</f>
        <v>0</v>
      </c>
      <c r="N428" s="103">
        <f t="shared" si="124"/>
        <v>0</v>
      </c>
    </row>
    <row r="429" spans="1:14" ht="39" hidden="1" customHeight="1" x14ac:dyDescent="0.2">
      <c r="A429" s="106" t="s">
        <v>809</v>
      </c>
      <c r="B429" s="11" t="s">
        <v>810</v>
      </c>
      <c r="C429" s="12" t="s">
        <v>31</v>
      </c>
      <c r="D429" s="13">
        <v>247.89</v>
      </c>
      <c r="E429" s="13">
        <f>[1]CPUs!I3618</f>
        <v>14.465938911999999</v>
      </c>
      <c r="F429" s="13">
        <v>17.884240276905597</v>
      </c>
      <c r="G429" s="13">
        <f>D429*F429</f>
        <v>4433.3243222421279</v>
      </c>
      <c r="H429" s="13">
        <v>0</v>
      </c>
      <c r="I429" s="13">
        <v>0</v>
      </c>
      <c r="J429" s="13">
        <f>H429+I429</f>
        <v>0</v>
      </c>
      <c r="K429" s="13">
        <f>H429*F429</f>
        <v>0</v>
      </c>
      <c r="L429" s="13">
        <f>I429*F429</f>
        <v>0</v>
      </c>
      <c r="M429" s="107">
        <f>J429*F429</f>
        <v>0</v>
      </c>
      <c r="N429" s="103">
        <f t="shared" si="124"/>
        <v>0</v>
      </c>
    </row>
    <row r="430" spans="1:14" ht="39" hidden="1" customHeight="1" x14ac:dyDescent="0.2">
      <c r="A430" s="106" t="s">
        <v>811</v>
      </c>
      <c r="B430" s="11" t="s">
        <v>812</v>
      </c>
      <c r="C430" s="12" t="s">
        <v>31</v>
      </c>
      <c r="D430" s="13">
        <v>247.89</v>
      </c>
      <c r="E430" s="13">
        <f>[1]CPUs!I3627</f>
        <v>9.5299999999999994</v>
      </c>
      <c r="F430" s="13">
        <v>11.78</v>
      </c>
      <c r="G430" s="13">
        <f>D430*F430</f>
        <v>2920.1441999999997</v>
      </c>
      <c r="H430" s="13">
        <v>0</v>
      </c>
      <c r="I430" s="13">
        <v>0</v>
      </c>
      <c r="J430" s="13">
        <f>H430+I430</f>
        <v>0</v>
      </c>
      <c r="K430" s="13">
        <f>H430*F430</f>
        <v>0</v>
      </c>
      <c r="L430" s="13">
        <f>I430*F430</f>
        <v>0</v>
      </c>
      <c r="M430" s="107">
        <f>J430*F430</f>
        <v>0</v>
      </c>
      <c r="N430" s="103">
        <f t="shared" si="124"/>
        <v>0</v>
      </c>
    </row>
    <row r="431" spans="1:14" ht="26.1" hidden="1" customHeight="1" x14ac:dyDescent="0.2">
      <c r="A431" s="106" t="s">
        <v>813</v>
      </c>
      <c r="B431" s="11" t="s">
        <v>814</v>
      </c>
      <c r="C431" s="12" t="s">
        <v>31</v>
      </c>
      <c r="D431" s="13">
        <v>605.35</v>
      </c>
      <c r="E431" s="13">
        <f>[1]CPUs!I3635</f>
        <v>38.657279999999993</v>
      </c>
      <c r="F431" s="13">
        <v>47.791995263999993</v>
      </c>
      <c r="G431" s="13">
        <f>D431*F431</f>
        <v>28930.884333062397</v>
      </c>
      <c r="H431" s="13">
        <v>0</v>
      </c>
      <c r="I431" s="13">
        <v>0</v>
      </c>
      <c r="J431" s="13">
        <f>H431+I431</f>
        <v>0</v>
      </c>
      <c r="K431" s="13">
        <f>H431*F431</f>
        <v>0</v>
      </c>
      <c r="L431" s="13">
        <f>I431*F431</f>
        <v>0</v>
      </c>
      <c r="M431" s="107">
        <f>J431*F431</f>
        <v>0</v>
      </c>
      <c r="N431" s="103">
        <f t="shared" si="124"/>
        <v>0</v>
      </c>
    </row>
    <row r="432" spans="1:14" ht="51.95" hidden="1" customHeight="1" x14ac:dyDescent="0.2">
      <c r="A432" s="106" t="s">
        <v>815</v>
      </c>
      <c r="B432" s="11" t="s">
        <v>816</v>
      </c>
      <c r="C432" s="12" t="s">
        <v>31</v>
      </c>
      <c r="D432" s="13">
        <v>8</v>
      </c>
      <c r="E432" s="13">
        <f>[1]CPUs!I3643</f>
        <v>40.98</v>
      </c>
      <c r="F432" s="13">
        <v>50.66</v>
      </c>
      <c r="G432" s="13">
        <f>D432*F432</f>
        <v>405.28</v>
      </c>
      <c r="H432" s="13">
        <v>0</v>
      </c>
      <c r="I432" s="13">
        <v>0</v>
      </c>
      <c r="J432" s="13">
        <f>H432+I432</f>
        <v>0</v>
      </c>
      <c r="K432" s="13">
        <f>H432*F432</f>
        <v>0</v>
      </c>
      <c r="L432" s="13">
        <f>I432*F432</f>
        <v>0</v>
      </c>
      <c r="M432" s="107">
        <f>J432*F432</f>
        <v>0</v>
      </c>
      <c r="N432" s="103">
        <f t="shared" si="124"/>
        <v>0</v>
      </c>
    </row>
    <row r="433" spans="1:14" ht="24" hidden="1" customHeight="1" x14ac:dyDescent="0.2">
      <c r="A433" s="108" t="s">
        <v>817</v>
      </c>
      <c r="B433" s="16" t="s">
        <v>818</v>
      </c>
      <c r="C433" s="16"/>
      <c r="D433" s="20"/>
      <c r="E433" s="19"/>
      <c r="F433" s="19"/>
      <c r="G433" s="20">
        <f>SUM(G434)</f>
        <v>21840.698364907501</v>
      </c>
      <c r="H433" s="20"/>
      <c r="I433" s="19"/>
      <c r="J433" s="20"/>
      <c r="K433" s="20">
        <f>SUM(K434)</f>
        <v>0</v>
      </c>
      <c r="L433" s="20">
        <f>SUM(L434)</f>
        <v>0</v>
      </c>
      <c r="M433" s="109">
        <f>SUM(M434)</f>
        <v>0</v>
      </c>
      <c r="N433" s="102">
        <f>M433/G433</f>
        <v>0</v>
      </c>
    </row>
    <row r="434" spans="1:14" ht="24" hidden="1" customHeight="1" x14ac:dyDescent="0.2">
      <c r="A434" s="111" t="s">
        <v>819</v>
      </c>
      <c r="B434" s="21" t="s">
        <v>818</v>
      </c>
      <c r="C434" s="22" t="s">
        <v>31</v>
      </c>
      <c r="D434" s="23">
        <v>6160.83</v>
      </c>
      <c r="E434" s="23">
        <f>[1]CPUs!I3651</f>
        <v>2.8675000000000002</v>
      </c>
      <c r="F434" s="23">
        <v>3.5450902500000003</v>
      </c>
      <c r="G434" s="23">
        <f>(D434*F434)</f>
        <v>21840.698364907501</v>
      </c>
      <c r="H434" s="23">
        <v>0</v>
      </c>
      <c r="I434" s="23">
        <v>0</v>
      </c>
      <c r="J434" s="23">
        <f>H434+I434</f>
        <v>0</v>
      </c>
      <c r="K434" s="23">
        <f>H434*F434</f>
        <v>0</v>
      </c>
      <c r="L434" s="23">
        <f>I434*F434</f>
        <v>0</v>
      </c>
      <c r="M434" s="112">
        <f>J434*F434</f>
        <v>0</v>
      </c>
      <c r="N434" s="103">
        <f t="shared" si="124"/>
        <v>0</v>
      </c>
    </row>
    <row r="435" spans="1:14" ht="20.25" customHeight="1" x14ac:dyDescent="0.2">
      <c r="A435" s="175" t="s">
        <v>20</v>
      </c>
      <c r="B435" s="175"/>
      <c r="C435" s="175"/>
      <c r="D435" s="175"/>
      <c r="E435" s="175"/>
      <c r="F435" s="175"/>
      <c r="G435" s="24">
        <f>(G13+G18+G26+G29+G64+G82+G88+G92+G106+G117+G127+G134+G149+G151+G161+G163+G172+G229+G340+G345+G365+G370+G374+G382+G433)</f>
        <v>21389181.107551087</v>
      </c>
      <c r="H435" s="25"/>
      <c r="I435" s="25"/>
      <c r="J435" s="25"/>
      <c r="K435" s="24">
        <f>(K13+K18+K26+K29+K64+K82+K88+K92+K106+K117+K127+K134+K149+K151+K161+K163+K172+K229+K340+K345+K365+K370+K374+K382+K433)-0.16</f>
        <v>15691365.461726945</v>
      </c>
      <c r="L435" s="24">
        <f>L13+L18+L26+L29+L64+L82+L88+L92+L106+L117+L127+L134+L149+L151+L161+L163+L172+L229+L340+L345+L365+L370+L374+L382+L433</f>
        <v>1857930.9133822743</v>
      </c>
      <c r="M435" s="24">
        <f>(M13+M18+M26+M29+M64+M82+M88+M92+M106+M117+M127+M134+M149+M151+M161+M163+M172+M229+M340+M345+M365+M370+M374+M382+M433)</f>
        <v>17549296.702856723</v>
      </c>
    </row>
    <row r="436" spans="1:14" ht="26.25" customHeight="1" x14ac:dyDescent="0.2">
      <c r="A436" s="26"/>
      <c r="B436" s="27"/>
      <c r="C436" s="26"/>
      <c r="D436" s="176"/>
      <c r="E436" s="177"/>
      <c r="F436" s="178"/>
      <c r="G436" s="177"/>
      <c r="H436" s="28"/>
      <c r="I436" s="26"/>
      <c r="J436" s="26"/>
      <c r="K436" s="28"/>
      <c r="L436" s="26"/>
      <c r="M436" s="26"/>
    </row>
    <row r="437" spans="1:14" x14ac:dyDescent="0.2">
      <c r="A437" s="26"/>
      <c r="B437" s="26"/>
      <c r="C437" s="26"/>
      <c r="D437" s="26"/>
      <c r="E437" s="26"/>
      <c r="F437" s="26"/>
      <c r="G437" s="26"/>
      <c r="H437" s="26"/>
      <c r="I437" s="26"/>
      <c r="J437" s="26"/>
      <c r="K437" s="26"/>
      <c r="L437" s="26"/>
      <c r="M437" s="26"/>
    </row>
    <row r="438" spans="1:14" x14ac:dyDescent="0.2">
      <c r="A438" s="179"/>
      <c r="B438" s="180"/>
      <c r="C438" s="180"/>
      <c r="D438" s="180"/>
      <c r="E438" s="180"/>
      <c r="F438" s="180"/>
      <c r="G438" s="180"/>
      <c r="H438" s="29"/>
      <c r="I438" s="29"/>
      <c r="J438" s="29"/>
      <c r="K438" s="70"/>
      <c r="L438" s="29"/>
      <c r="M438" s="29"/>
    </row>
    <row r="439" spans="1:14" x14ac:dyDescent="0.2">
      <c r="A439" s="29"/>
      <c r="B439" s="29"/>
      <c r="C439" s="29"/>
      <c r="D439" s="29"/>
      <c r="E439" s="29"/>
      <c r="F439" s="29"/>
      <c r="G439" s="29"/>
      <c r="H439" s="29"/>
      <c r="I439" s="29"/>
      <c r="J439" s="29"/>
      <c r="K439" s="29"/>
      <c r="L439" s="29"/>
      <c r="M439" s="29"/>
    </row>
  </sheetData>
  <mergeCells count="33">
    <mergeCell ref="A5:G5"/>
    <mergeCell ref="H5:J5"/>
    <mergeCell ref="K5:M5"/>
    <mergeCell ref="A1:A2"/>
    <mergeCell ref="C1:D1"/>
    <mergeCell ref="E1:F1"/>
    <mergeCell ref="C2:D2"/>
    <mergeCell ref="E2:F2"/>
    <mergeCell ref="A3:G3"/>
    <mergeCell ref="H3:J3"/>
    <mergeCell ref="K3:M3"/>
    <mergeCell ref="A4:G4"/>
    <mergeCell ref="H4:J4"/>
    <mergeCell ref="K4:M4"/>
    <mergeCell ref="A6:G6"/>
    <mergeCell ref="H6:J6"/>
    <mergeCell ref="K6:M6"/>
    <mergeCell ref="A7:G7"/>
    <mergeCell ref="H7:J7"/>
    <mergeCell ref="K7:M7"/>
    <mergeCell ref="H8:M8"/>
    <mergeCell ref="A9:M9"/>
    <mergeCell ref="A11:A12"/>
    <mergeCell ref="B11:B12"/>
    <mergeCell ref="C11:C12"/>
    <mergeCell ref="D11:G11"/>
    <mergeCell ref="H11:J11"/>
    <mergeCell ref="K11:M11"/>
    <mergeCell ref="A435:F435"/>
    <mergeCell ref="D436:E436"/>
    <mergeCell ref="F436:G436"/>
    <mergeCell ref="A438:G438"/>
    <mergeCell ref="A8:G8"/>
  </mergeCells>
  <phoneticPr fontId="18" type="noConversion"/>
  <printOptions horizontalCentered="1"/>
  <pageMargins left="0.39370078740157483" right="0.39370078740157483" top="0.39370078740157483" bottom="0.94488188976377963" header="0.51181102362204722" footer="0.31496062992125984"/>
  <pageSetup paperSize="9" scale="60" fitToHeight="0" orientation="landscape"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EA05B-917B-4B6B-BC5C-559CB9885CD5}">
  <sheetPr>
    <tabColor theme="4"/>
  </sheetPr>
  <dimension ref="A1:F232"/>
  <sheetViews>
    <sheetView view="pageBreakPreview" topLeftCell="A206" zoomScale="90" zoomScaleNormal="95" zoomScaleSheetLayoutView="90" workbookViewId="0">
      <selection activeCell="E169" sqref="E169"/>
    </sheetView>
  </sheetViews>
  <sheetFormatPr defaultColWidth="9" defaultRowHeight="12.75" x14ac:dyDescent="0.2"/>
  <cols>
    <col min="1" max="1" width="19.5" style="35" customWidth="1"/>
    <col min="2" max="2" width="14" style="35" customWidth="1"/>
    <col min="3" max="3" width="19" style="35" customWidth="1"/>
    <col min="4" max="4" width="17.25" style="35" customWidth="1"/>
    <col min="5" max="5" width="15" style="42" customWidth="1"/>
    <col min="6" max="16384" width="9" style="33"/>
  </cols>
  <sheetData>
    <row r="1" spans="1:5" x14ac:dyDescent="0.2">
      <c r="A1" s="30"/>
      <c r="B1" s="31"/>
      <c r="C1" s="31"/>
      <c r="D1" s="31"/>
      <c r="E1" s="32"/>
    </row>
    <row r="2" spans="1:5" x14ac:dyDescent="0.2">
      <c r="A2" s="34"/>
      <c r="E2" s="36"/>
    </row>
    <row r="3" spans="1:5" x14ac:dyDescent="0.2">
      <c r="A3" s="34"/>
      <c r="E3" s="36"/>
    </row>
    <row r="4" spans="1:5" x14ac:dyDescent="0.2">
      <c r="A4" s="34"/>
      <c r="E4" s="36"/>
    </row>
    <row r="5" spans="1:5" x14ac:dyDescent="0.2">
      <c r="A5" s="37"/>
      <c r="B5" s="38"/>
      <c r="C5" s="39"/>
      <c r="D5" s="39"/>
      <c r="E5" s="40"/>
    </row>
    <row r="6" spans="1:5" x14ac:dyDescent="0.2">
      <c r="A6" s="37" t="s">
        <v>820</v>
      </c>
      <c r="B6" s="38"/>
      <c r="C6" s="39"/>
      <c r="D6" s="39"/>
      <c r="E6" s="40"/>
    </row>
    <row r="7" spans="1:5" x14ac:dyDescent="0.2">
      <c r="A7" s="37" t="s">
        <v>2</v>
      </c>
      <c r="B7" s="38"/>
      <c r="C7" s="39"/>
      <c r="D7" s="39"/>
      <c r="E7" s="40"/>
    </row>
    <row r="8" spans="1:5" x14ac:dyDescent="0.2">
      <c r="A8" s="37" t="s">
        <v>1313</v>
      </c>
      <c r="B8" s="38"/>
      <c r="C8" s="39"/>
      <c r="D8" s="39"/>
      <c r="E8" s="40"/>
    </row>
    <row r="9" spans="1:5" ht="13.5" thickBot="1" x14ac:dyDescent="0.25">
      <c r="A9" s="37"/>
      <c r="B9" s="38"/>
      <c r="C9" s="39"/>
      <c r="D9" s="39"/>
      <c r="E9" s="40"/>
    </row>
    <row r="10" spans="1:5" s="43" customFormat="1" ht="21" customHeight="1" thickBot="1" x14ac:dyDescent="0.25">
      <c r="A10" s="248" t="s">
        <v>1314</v>
      </c>
      <c r="B10" s="249"/>
      <c r="C10" s="249"/>
      <c r="D10" s="249"/>
      <c r="E10" s="250"/>
    </row>
    <row r="11" spans="1:5" x14ac:dyDescent="0.2">
      <c r="A11" s="34"/>
      <c r="E11" s="36"/>
    </row>
    <row r="12" spans="1:5" ht="17.25" customHeight="1" x14ac:dyDescent="0.2">
      <c r="A12" s="44" t="s">
        <v>886</v>
      </c>
      <c r="B12" s="221" t="s">
        <v>238</v>
      </c>
      <c r="C12" s="221"/>
      <c r="D12" s="221"/>
      <c r="E12" s="221"/>
    </row>
    <row r="13" spans="1:5" s="43" customFormat="1" ht="39.75" customHeight="1" x14ac:dyDescent="0.2">
      <c r="A13" s="45" t="s">
        <v>1225</v>
      </c>
      <c r="B13" s="214" t="s">
        <v>240</v>
      </c>
      <c r="C13" s="214"/>
      <c r="D13" s="214"/>
      <c r="E13" s="214"/>
    </row>
    <row r="14" spans="1:5" ht="14.25" customHeight="1" x14ac:dyDescent="0.2">
      <c r="A14" s="128"/>
      <c r="B14" s="127"/>
      <c r="C14" s="95"/>
      <c r="D14" s="95"/>
      <c r="E14" s="174" t="s">
        <v>908</v>
      </c>
    </row>
    <row r="15" spans="1:5" ht="14.25" customHeight="1" x14ac:dyDescent="0.2">
      <c r="A15" s="128" t="s">
        <v>1704</v>
      </c>
      <c r="B15" s="127"/>
      <c r="C15" s="95"/>
      <c r="D15" s="95"/>
      <c r="E15" s="62">
        <v>1782.01</v>
      </c>
    </row>
    <row r="16" spans="1:5" s="43" customFormat="1" ht="14.25" customHeight="1" x14ac:dyDescent="0.2">
      <c r="A16" s="276"/>
      <c r="B16" s="277"/>
      <c r="C16" s="129"/>
      <c r="D16" s="129"/>
      <c r="E16" s="130"/>
    </row>
    <row r="17" spans="1:5" ht="14.25" customHeight="1" x14ac:dyDescent="0.2">
      <c r="A17" s="215" t="s">
        <v>1262</v>
      </c>
      <c r="B17" s="216"/>
      <c r="C17" s="216"/>
      <c r="D17" s="216"/>
      <c r="E17" s="62">
        <f>E15</f>
        <v>1782.01</v>
      </c>
    </row>
    <row r="18" spans="1:5" ht="14.25" customHeight="1" x14ac:dyDescent="0.2">
      <c r="A18" s="215" t="s">
        <v>1263</v>
      </c>
      <c r="B18" s="216"/>
      <c r="C18" s="216"/>
      <c r="D18" s="216"/>
      <c r="E18" s="62">
        <v>2970.02</v>
      </c>
    </row>
    <row r="19" spans="1:5" ht="14.25" customHeight="1" x14ac:dyDescent="0.2">
      <c r="A19" s="217" t="s">
        <v>1705</v>
      </c>
      <c r="B19" s="218"/>
      <c r="C19" s="218"/>
      <c r="D19" s="218"/>
      <c r="E19" s="69">
        <v>1188.01</v>
      </c>
    </row>
    <row r="20" spans="1:5" ht="14.25" customHeight="1" x14ac:dyDescent="0.2">
      <c r="A20" s="219" t="s">
        <v>1706</v>
      </c>
      <c r="B20" s="220"/>
      <c r="C20" s="220"/>
      <c r="D20" s="220"/>
      <c r="E20" s="63">
        <f>E17-E19</f>
        <v>594</v>
      </c>
    </row>
    <row r="21" spans="1:5" ht="14.25" customHeight="1" x14ac:dyDescent="0.2">
      <c r="A21" s="217"/>
      <c r="B21" s="218"/>
      <c r="C21" s="218"/>
      <c r="D21" s="218"/>
      <c r="E21" s="69"/>
    </row>
    <row r="22" spans="1:5" s="43" customFormat="1" ht="39.75" hidden="1" customHeight="1" x14ac:dyDescent="0.2">
      <c r="A22" s="45" t="s">
        <v>962</v>
      </c>
      <c r="B22" s="214" t="s">
        <v>242</v>
      </c>
      <c r="C22" s="214"/>
      <c r="D22" s="214"/>
      <c r="E22" s="214"/>
    </row>
    <row r="23" spans="1:5" ht="14.25" hidden="1" customHeight="1" x14ac:dyDescent="0.2">
      <c r="A23" s="253" t="s">
        <v>821</v>
      </c>
      <c r="B23" s="254"/>
      <c r="C23" s="49" t="s">
        <v>883</v>
      </c>
      <c r="D23" s="49" t="s">
        <v>822</v>
      </c>
      <c r="E23" s="125" t="s">
        <v>885</v>
      </c>
    </row>
    <row r="24" spans="1:5" ht="14.25" hidden="1" customHeight="1" x14ac:dyDescent="0.2">
      <c r="A24" s="303" t="s">
        <v>1261</v>
      </c>
      <c r="B24" s="304"/>
      <c r="C24" s="95"/>
      <c r="D24" s="95"/>
      <c r="E24" s="62"/>
    </row>
    <row r="25" spans="1:5" ht="14.25" hidden="1" customHeight="1" x14ac:dyDescent="0.2">
      <c r="A25" s="255" t="s">
        <v>1164</v>
      </c>
      <c r="B25" s="256"/>
      <c r="C25" s="95">
        <v>2</v>
      </c>
      <c r="D25" s="95">
        <v>3</v>
      </c>
      <c r="E25" s="62">
        <f>C25*D25</f>
        <v>6</v>
      </c>
    </row>
    <row r="26" spans="1:5" ht="14.25" hidden="1" customHeight="1" x14ac:dyDescent="0.2">
      <c r="A26" s="128" t="s">
        <v>880</v>
      </c>
      <c r="B26" s="127"/>
      <c r="C26" s="95">
        <v>1</v>
      </c>
      <c r="D26" s="95">
        <v>10.78</v>
      </c>
      <c r="E26" s="62">
        <f>C26*D26</f>
        <v>10.78</v>
      </c>
    </row>
    <row r="27" spans="1:5" ht="14.25" hidden="1" customHeight="1" x14ac:dyDescent="0.2">
      <c r="A27" s="255" t="s">
        <v>906</v>
      </c>
      <c r="B27" s="256"/>
      <c r="C27" s="95">
        <v>1</v>
      </c>
      <c r="D27" s="95">
        <v>2.4</v>
      </c>
      <c r="E27" s="62">
        <f>C27*D27</f>
        <v>2.4</v>
      </c>
    </row>
    <row r="28" spans="1:5" ht="14.25" hidden="1" customHeight="1" x14ac:dyDescent="0.2">
      <c r="A28" s="255" t="s">
        <v>1264</v>
      </c>
      <c r="B28" s="256"/>
      <c r="C28" s="95">
        <v>2</v>
      </c>
      <c r="D28" s="95">
        <v>9.1</v>
      </c>
      <c r="E28" s="62">
        <f>C28*D28</f>
        <v>18.2</v>
      </c>
    </row>
    <row r="29" spans="1:5" ht="14.25" hidden="1" customHeight="1" x14ac:dyDescent="0.2">
      <c r="A29" s="255" t="s">
        <v>1265</v>
      </c>
      <c r="B29" s="256"/>
      <c r="C29" s="95">
        <v>1</v>
      </c>
      <c r="D29" s="95">
        <f>2.85*1.2</f>
        <v>3.42</v>
      </c>
      <c r="E29" s="62">
        <f>C29*D29</f>
        <v>3.42</v>
      </c>
    </row>
    <row r="30" spans="1:5" ht="14.25" hidden="1" customHeight="1" x14ac:dyDescent="0.2">
      <c r="A30" s="126" t="s">
        <v>1163</v>
      </c>
      <c r="B30" s="127"/>
      <c r="C30" s="95"/>
      <c r="D30" s="95"/>
      <c r="E30" s="62"/>
    </row>
    <row r="31" spans="1:5" ht="14.25" hidden="1" customHeight="1" x14ac:dyDescent="0.2">
      <c r="A31" s="255" t="s">
        <v>1164</v>
      </c>
      <c r="B31" s="256"/>
      <c r="C31" s="95">
        <v>2</v>
      </c>
      <c r="D31" s="95">
        <v>3</v>
      </c>
      <c r="E31" s="62">
        <f t="shared" ref="E31:E35" si="0">C31*D31</f>
        <v>6</v>
      </c>
    </row>
    <row r="32" spans="1:5" ht="14.25" hidden="1" customHeight="1" x14ac:dyDescent="0.2">
      <c r="A32" s="128" t="s">
        <v>880</v>
      </c>
      <c r="B32" s="127"/>
      <c r="C32" s="95">
        <v>1</v>
      </c>
      <c r="D32" s="95">
        <v>5.9</v>
      </c>
      <c r="E32" s="62">
        <f t="shared" si="0"/>
        <v>5.9</v>
      </c>
    </row>
    <row r="33" spans="1:6" ht="14.25" hidden="1" customHeight="1" x14ac:dyDescent="0.2">
      <c r="A33" s="255" t="s">
        <v>906</v>
      </c>
      <c r="B33" s="256"/>
      <c r="C33" s="95">
        <v>1</v>
      </c>
      <c r="D33" s="95">
        <v>2.4</v>
      </c>
      <c r="E33" s="62">
        <f t="shared" si="0"/>
        <v>2.4</v>
      </c>
    </row>
    <row r="34" spans="1:6" ht="14.25" hidden="1" customHeight="1" x14ac:dyDescent="0.2">
      <c r="A34" s="255" t="s">
        <v>1166</v>
      </c>
      <c r="B34" s="256"/>
      <c r="C34" s="95">
        <v>1</v>
      </c>
      <c r="D34" s="95">
        <v>11.23</v>
      </c>
      <c r="E34" s="62">
        <f t="shared" si="0"/>
        <v>11.23</v>
      </c>
    </row>
    <row r="35" spans="1:6" ht="14.25" hidden="1" customHeight="1" x14ac:dyDescent="0.2">
      <c r="A35" s="255" t="s">
        <v>882</v>
      </c>
      <c r="B35" s="256"/>
      <c r="C35" s="95">
        <v>1</v>
      </c>
      <c r="D35" s="95">
        <v>12.56</v>
      </c>
      <c r="E35" s="62">
        <f t="shared" si="0"/>
        <v>12.56</v>
      </c>
    </row>
    <row r="36" spans="1:6" ht="14.25" hidden="1" customHeight="1" x14ac:dyDescent="0.2">
      <c r="A36" s="126" t="s">
        <v>1165</v>
      </c>
      <c r="B36" s="127"/>
      <c r="C36" s="95"/>
      <c r="D36" s="95"/>
      <c r="E36" s="62"/>
    </row>
    <row r="37" spans="1:6" ht="14.25" hidden="1" customHeight="1" x14ac:dyDescent="0.2">
      <c r="A37" s="255" t="s">
        <v>963</v>
      </c>
      <c r="B37" s="256"/>
      <c r="C37" s="95">
        <v>12</v>
      </c>
      <c r="D37" s="95">
        <v>1.61</v>
      </c>
      <c r="E37" s="62">
        <f>C37*D37</f>
        <v>19.32</v>
      </c>
    </row>
    <row r="38" spans="1:6" s="43" customFormat="1" ht="15.75" hidden="1" customHeight="1" x14ac:dyDescent="0.2">
      <c r="A38" s="276" t="s">
        <v>1166</v>
      </c>
      <c r="B38" s="277"/>
      <c r="C38" s="129">
        <v>4</v>
      </c>
      <c r="D38" s="129">
        <v>3.15</v>
      </c>
      <c r="E38" s="130">
        <f>C38*D38</f>
        <v>12.6</v>
      </c>
    </row>
    <row r="39" spans="1:6" s="43" customFormat="1" ht="14.25" hidden="1" customHeight="1" x14ac:dyDescent="0.2">
      <c r="A39" s="276" t="s">
        <v>882</v>
      </c>
      <c r="B39" s="277"/>
      <c r="C39" s="129">
        <v>4</v>
      </c>
      <c r="D39" s="129">
        <v>3.15</v>
      </c>
      <c r="E39" s="130">
        <f>C39*D39</f>
        <v>12.6</v>
      </c>
    </row>
    <row r="40" spans="1:6" s="43" customFormat="1" ht="14.25" hidden="1" customHeight="1" x14ac:dyDescent="0.2">
      <c r="A40" s="276" t="s">
        <v>1167</v>
      </c>
      <c r="B40" s="277"/>
      <c r="C40" s="129">
        <v>4</v>
      </c>
      <c r="D40" s="129">
        <v>3.68</v>
      </c>
      <c r="E40" s="130">
        <f>C40*D40</f>
        <v>14.72</v>
      </c>
    </row>
    <row r="41" spans="1:6" ht="14.25" hidden="1" customHeight="1" x14ac:dyDescent="0.2">
      <c r="A41" s="215" t="s">
        <v>965</v>
      </c>
      <c r="B41" s="216"/>
      <c r="C41" s="216"/>
      <c r="D41" s="216"/>
      <c r="E41" s="62">
        <f>SUM(E25:E40)-0.02</f>
        <v>138.10999999999999</v>
      </c>
    </row>
    <row r="42" spans="1:6" ht="14.25" hidden="1" customHeight="1" x14ac:dyDescent="0.2">
      <c r="A42" s="215" t="s">
        <v>964</v>
      </c>
      <c r="B42" s="216"/>
      <c r="C42" s="216"/>
      <c r="D42" s="216"/>
      <c r="E42" s="62">
        <v>138.11000000000001</v>
      </c>
    </row>
    <row r="43" spans="1:6" ht="14.25" hidden="1" customHeight="1" x14ac:dyDescent="0.2">
      <c r="A43" s="217" t="s">
        <v>1287</v>
      </c>
      <c r="B43" s="218"/>
      <c r="C43" s="218"/>
      <c r="D43" s="218"/>
      <c r="E43" s="69">
        <v>78.23</v>
      </c>
    </row>
    <row r="44" spans="1:6" ht="14.25" hidden="1" customHeight="1" x14ac:dyDescent="0.2">
      <c r="A44" s="219" t="s">
        <v>1288</v>
      </c>
      <c r="B44" s="220"/>
      <c r="C44" s="220"/>
      <c r="D44" s="220"/>
      <c r="E44" s="63">
        <f>E41-E43</f>
        <v>59.879999999999981</v>
      </c>
    </row>
    <row r="45" spans="1:6" ht="14.25" hidden="1" customHeight="1" x14ac:dyDescent="0.2">
      <c r="A45" s="217"/>
      <c r="B45" s="218"/>
      <c r="C45" s="218"/>
      <c r="D45" s="218"/>
      <c r="E45" s="69"/>
    </row>
    <row r="46" spans="1:6" s="43" customFormat="1" ht="30" hidden="1" customHeight="1" x14ac:dyDescent="0.2">
      <c r="A46" s="45" t="s">
        <v>1231</v>
      </c>
      <c r="B46" s="214" t="s">
        <v>244</v>
      </c>
      <c r="C46" s="214"/>
      <c r="D46" s="214"/>
      <c r="E46" s="214"/>
      <c r="F46" s="43" t="s">
        <v>865</v>
      </c>
    </row>
    <row r="47" spans="1:6" ht="14.25" hidden="1" customHeight="1" x14ac:dyDescent="0.2">
      <c r="A47" s="253" t="s">
        <v>821</v>
      </c>
      <c r="B47" s="254"/>
      <c r="C47" s="254" t="s">
        <v>822</v>
      </c>
      <c r="D47" s="254"/>
      <c r="E47" s="125" t="s">
        <v>1266</v>
      </c>
    </row>
    <row r="48" spans="1:6" s="43" customFormat="1" ht="29.25" hidden="1" customHeight="1" x14ac:dyDescent="0.2">
      <c r="A48" s="262" t="s">
        <v>1267</v>
      </c>
      <c r="B48" s="263"/>
      <c r="C48" s="302">
        <v>57.79</v>
      </c>
      <c r="D48" s="302"/>
      <c r="E48" s="130">
        <f>C48</f>
        <v>57.79</v>
      </c>
    </row>
    <row r="49" spans="1:6" ht="14.25" hidden="1" customHeight="1" x14ac:dyDescent="0.2">
      <c r="A49" s="215" t="s">
        <v>1289</v>
      </c>
      <c r="B49" s="216"/>
      <c r="C49" s="216"/>
      <c r="D49" s="216"/>
      <c r="E49" s="62">
        <f>SUM(E48:E48)</f>
        <v>57.79</v>
      </c>
    </row>
    <row r="50" spans="1:6" ht="14.25" hidden="1" customHeight="1" x14ac:dyDescent="0.2">
      <c r="A50" s="215" t="s">
        <v>1233</v>
      </c>
      <c r="B50" s="216"/>
      <c r="C50" s="216"/>
      <c r="D50" s="216"/>
      <c r="E50" s="62">
        <v>115.57</v>
      </c>
    </row>
    <row r="51" spans="1:6" ht="14.25" hidden="1" customHeight="1" x14ac:dyDescent="0.2">
      <c r="A51" s="217" t="s">
        <v>1290</v>
      </c>
      <c r="B51" s="218"/>
      <c r="C51" s="218"/>
      <c r="D51" s="218"/>
      <c r="E51" s="69">
        <v>0</v>
      </c>
    </row>
    <row r="52" spans="1:6" ht="14.25" hidden="1" customHeight="1" x14ac:dyDescent="0.2">
      <c r="A52" s="219" t="s">
        <v>1291</v>
      </c>
      <c r="B52" s="220"/>
      <c r="C52" s="220"/>
      <c r="D52" s="220"/>
      <c r="E52" s="63">
        <f>E49</f>
        <v>57.79</v>
      </c>
    </row>
    <row r="53" spans="1:6" ht="14.25" hidden="1" customHeight="1" x14ac:dyDescent="0.2">
      <c r="A53" s="228"/>
      <c r="B53" s="229"/>
      <c r="C53" s="133"/>
      <c r="D53" s="133"/>
      <c r="E53" s="121"/>
    </row>
    <row r="54" spans="1:6" s="43" customFormat="1" ht="42" customHeight="1" x14ac:dyDescent="0.2">
      <c r="A54" s="45" t="s">
        <v>887</v>
      </c>
      <c r="B54" s="214" t="s">
        <v>246</v>
      </c>
      <c r="C54" s="214"/>
      <c r="D54" s="214"/>
      <c r="E54" s="214"/>
      <c r="F54" s="71"/>
    </row>
    <row r="55" spans="1:6" s="53" customFormat="1" ht="16.5" customHeight="1" x14ac:dyDescent="0.2">
      <c r="A55" s="281" t="s">
        <v>821</v>
      </c>
      <c r="B55" s="282"/>
      <c r="C55" s="78"/>
      <c r="D55" s="84" t="s">
        <v>822</v>
      </c>
      <c r="E55" s="73" t="s">
        <v>885</v>
      </c>
    </row>
    <row r="56" spans="1:6" s="53" customFormat="1" ht="16.5" customHeight="1" x14ac:dyDescent="0.2">
      <c r="A56" s="289" t="s">
        <v>1261</v>
      </c>
      <c r="B56" s="78" t="s">
        <v>1168</v>
      </c>
      <c r="C56" s="74"/>
      <c r="D56" s="87">
        <f>22.8+20.09+20.09</f>
        <v>62.980000000000004</v>
      </c>
      <c r="E56" s="73">
        <f t="shared" ref="E56:E79" si="1">D56</f>
        <v>62.980000000000004</v>
      </c>
    </row>
    <row r="57" spans="1:6" s="53" customFormat="1" ht="16.5" customHeight="1" x14ac:dyDescent="0.2">
      <c r="A57" s="289"/>
      <c r="B57" s="78" t="s">
        <v>1169</v>
      </c>
      <c r="C57" s="74"/>
      <c r="D57" s="87">
        <v>43.51</v>
      </c>
      <c r="E57" s="73">
        <f t="shared" si="1"/>
        <v>43.51</v>
      </c>
    </row>
    <row r="58" spans="1:6" s="53" customFormat="1" ht="16.5" customHeight="1" x14ac:dyDescent="0.2">
      <c r="A58" s="289"/>
      <c r="B58" s="78" t="s">
        <v>1488</v>
      </c>
      <c r="C58" s="74"/>
      <c r="D58" s="87">
        <v>4.8</v>
      </c>
      <c r="E58" s="73">
        <f t="shared" si="1"/>
        <v>4.8</v>
      </c>
    </row>
    <row r="59" spans="1:6" s="53" customFormat="1" ht="16.5" customHeight="1" x14ac:dyDescent="0.2">
      <c r="A59" s="289"/>
      <c r="B59" s="78" t="s">
        <v>881</v>
      </c>
      <c r="C59" s="74"/>
      <c r="D59" s="87">
        <v>3</v>
      </c>
      <c r="E59" s="73">
        <f t="shared" si="1"/>
        <v>3</v>
      </c>
    </row>
    <row r="60" spans="1:6" s="53" customFormat="1" ht="16.5" customHeight="1" x14ac:dyDescent="0.2">
      <c r="A60" s="289"/>
      <c r="B60" s="78" t="s">
        <v>882</v>
      </c>
      <c r="C60" s="74"/>
      <c r="D60" s="87">
        <v>3</v>
      </c>
      <c r="E60" s="73">
        <f t="shared" si="1"/>
        <v>3</v>
      </c>
    </row>
    <row r="61" spans="1:6" s="53" customFormat="1" ht="16.5" customHeight="1" x14ac:dyDescent="0.2">
      <c r="A61" s="289"/>
      <c r="B61" s="78" t="s">
        <v>906</v>
      </c>
      <c r="C61" s="74"/>
      <c r="D61" s="87">
        <v>2.4</v>
      </c>
      <c r="E61" s="73">
        <f t="shared" si="1"/>
        <v>2.4</v>
      </c>
    </row>
    <row r="62" spans="1:6" s="53" customFormat="1" ht="16.5" customHeight="1" x14ac:dyDescent="0.2">
      <c r="A62" s="289"/>
      <c r="B62" s="78" t="s">
        <v>880</v>
      </c>
      <c r="C62" s="74"/>
      <c r="D62" s="87">
        <v>10.78</v>
      </c>
      <c r="E62" s="73">
        <f t="shared" si="1"/>
        <v>10.78</v>
      </c>
    </row>
    <row r="63" spans="1:6" s="53" customFormat="1" ht="16.5" customHeight="1" x14ac:dyDescent="0.2">
      <c r="A63" s="289"/>
      <c r="B63" s="78" t="s">
        <v>1486</v>
      </c>
      <c r="C63" s="74"/>
      <c r="D63" s="87">
        <v>60.96</v>
      </c>
      <c r="E63" s="73">
        <f t="shared" si="1"/>
        <v>60.96</v>
      </c>
    </row>
    <row r="64" spans="1:6" s="53" customFormat="1" ht="16.5" customHeight="1" x14ac:dyDescent="0.2">
      <c r="A64" s="289"/>
      <c r="B64" s="78" t="s">
        <v>1487</v>
      </c>
      <c r="C64" s="74"/>
      <c r="D64" s="74">
        <v>11.94</v>
      </c>
      <c r="E64" s="73">
        <f t="shared" ref="E64:E70" si="2">D64</f>
        <v>11.94</v>
      </c>
    </row>
    <row r="65" spans="1:5" s="53" customFormat="1" ht="16.5" customHeight="1" x14ac:dyDescent="0.2">
      <c r="A65" s="289"/>
      <c r="B65" s="88" t="s">
        <v>1489</v>
      </c>
      <c r="C65" s="74"/>
      <c r="D65" s="87">
        <f>2.7+3.01+3.01+5.78</f>
        <v>14.5</v>
      </c>
      <c r="E65" s="73">
        <f t="shared" si="2"/>
        <v>14.5</v>
      </c>
    </row>
    <row r="66" spans="1:5" s="53" customFormat="1" ht="16.5" customHeight="1" x14ac:dyDescent="0.2">
      <c r="A66" s="289"/>
      <c r="B66" s="88" t="s">
        <v>1490</v>
      </c>
      <c r="C66" s="74"/>
      <c r="D66" s="87">
        <f>9.09*2</f>
        <v>18.18</v>
      </c>
      <c r="E66" s="73">
        <f t="shared" si="2"/>
        <v>18.18</v>
      </c>
    </row>
    <row r="67" spans="1:5" s="53" customFormat="1" ht="16.5" customHeight="1" x14ac:dyDescent="0.2">
      <c r="A67" s="289"/>
      <c r="B67" s="78" t="s">
        <v>919</v>
      </c>
      <c r="C67" s="74"/>
      <c r="D67" s="87">
        <v>13.91</v>
      </c>
      <c r="E67" s="73">
        <f t="shared" si="2"/>
        <v>13.91</v>
      </c>
    </row>
    <row r="68" spans="1:5" s="53" customFormat="1" ht="16.5" customHeight="1" x14ac:dyDescent="0.2">
      <c r="A68" s="289"/>
      <c r="B68" s="78" t="s">
        <v>1491</v>
      </c>
      <c r="C68" s="74"/>
      <c r="D68" s="87">
        <v>9.0399999999999991</v>
      </c>
      <c r="E68" s="73">
        <f t="shared" si="2"/>
        <v>9.0399999999999991</v>
      </c>
    </row>
    <row r="69" spans="1:5" s="53" customFormat="1" ht="16.5" customHeight="1" x14ac:dyDescent="0.2">
      <c r="A69" s="289"/>
      <c r="B69" s="78" t="s">
        <v>884</v>
      </c>
      <c r="C69" s="74"/>
      <c r="D69" s="87">
        <v>5.98</v>
      </c>
      <c r="E69" s="73">
        <f t="shared" si="2"/>
        <v>5.98</v>
      </c>
    </row>
    <row r="70" spans="1:5" s="53" customFormat="1" ht="16.5" customHeight="1" x14ac:dyDescent="0.2">
      <c r="A70" s="289"/>
      <c r="B70" s="88" t="s">
        <v>1492</v>
      </c>
      <c r="C70" s="74"/>
      <c r="D70" s="74">
        <v>67.83</v>
      </c>
      <c r="E70" s="73">
        <f t="shared" si="2"/>
        <v>67.83</v>
      </c>
    </row>
    <row r="71" spans="1:5" s="53" customFormat="1" ht="16.5" customHeight="1" x14ac:dyDescent="0.2">
      <c r="A71" s="289" t="s">
        <v>911</v>
      </c>
      <c r="B71" s="78" t="s">
        <v>897</v>
      </c>
      <c r="C71" s="74"/>
      <c r="D71" s="87">
        <v>41.49</v>
      </c>
      <c r="E71" s="73">
        <f t="shared" si="1"/>
        <v>41.49</v>
      </c>
    </row>
    <row r="72" spans="1:5" s="53" customFormat="1" ht="16.5" customHeight="1" x14ac:dyDescent="0.2">
      <c r="A72" s="289"/>
      <c r="B72" s="78" t="s">
        <v>881</v>
      </c>
      <c r="C72" s="74"/>
      <c r="D72" s="87">
        <v>3</v>
      </c>
      <c r="E72" s="73">
        <f t="shared" si="1"/>
        <v>3</v>
      </c>
    </row>
    <row r="73" spans="1:5" s="53" customFormat="1" ht="16.5" customHeight="1" x14ac:dyDescent="0.2">
      <c r="A73" s="289"/>
      <c r="B73" s="78" t="s">
        <v>882</v>
      </c>
      <c r="C73" s="74"/>
      <c r="D73" s="87">
        <v>3</v>
      </c>
      <c r="E73" s="73">
        <f t="shared" si="1"/>
        <v>3</v>
      </c>
    </row>
    <row r="74" spans="1:5" s="53" customFormat="1" ht="16.5" customHeight="1" x14ac:dyDescent="0.2">
      <c r="A74" s="289"/>
      <c r="B74" s="78" t="s">
        <v>906</v>
      </c>
      <c r="C74" s="74"/>
      <c r="D74" s="87">
        <v>2.4</v>
      </c>
      <c r="E74" s="73">
        <f t="shared" si="1"/>
        <v>2.4</v>
      </c>
    </row>
    <row r="75" spans="1:5" s="53" customFormat="1" ht="16.5" customHeight="1" x14ac:dyDescent="0.2">
      <c r="A75" s="289"/>
      <c r="B75" s="78" t="s">
        <v>880</v>
      </c>
      <c r="C75" s="74"/>
      <c r="D75" s="87">
        <v>5.12</v>
      </c>
      <c r="E75" s="73">
        <f t="shared" si="1"/>
        <v>5.12</v>
      </c>
    </row>
    <row r="76" spans="1:5" s="53" customFormat="1" ht="16.5" customHeight="1" x14ac:dyDescent="0.2">
      <c r="A76" s="289"/>
      <c r="B76" s="78" t="s">
        <v>912</v>
      </c>
      <c r="C76" s="74"/>
      <c r="D76" s="74">
        <v>166.34</v>
      </c>
      <c r="E76" s="73">
        <f t="shared" ref="E76:E78" si="3">D76</f>
        <v>166.34</v>
      </c>
    </row>
    <row r="77" spans="1:5" s="53" customFormat="1" ht="16.5" customHeight="1" x14ac:dyDescent="0.2">
      <c r="A77" s="289"/>
      <c r="B77" s="78" t="s">
        <v>919</v>
      </c>
      <c r="C77" s="74"/>
      <c r="D77" s="74">
        <v>11.94</v>
      </c>
      <c r="E77" s="73">
        <f t="shared" si="3"/>
        <v>11.94</v>
      </c>
    </row>
    <row r="78" spans="1:5" s="53" customFormat="1" ht="16.5" customHeight="1" x14ac:dyDescent="0.2">
      <c r="A78" s="289"/>
      <c r="B78" s="78" t="s">
        <v>1484</v>
      </c>
      <c r="C78" s="74"/>
      <c r="D78" s="74">
        <v>14.81</v>
      </c>
      <c r="E78" s="73">
        <f t="shared" si="3"/>
        <v>14.81</v>
      </c>
    </row>
    <row r="79" spans="1:5" s="53" customFormat="1" ht="16.5" customHeight="1" x14ac:dyDescent="0.2">
      <c r="A79" s="289"/>
      <c r="B79" s="78" t="s">
        <v>1485</v>
      </c>
      <c r="C79" s="74"/>
      <c r="D79" s="74">
        <v>39.19</v>
      </c>
      <c r="E79" s="73">
        <f t="shared" si="1"/>
        <v>39.19</v>
      </c>
    </row>
    <row r="80" spans="1:5" s="53" customFormat="1" ht="16.5" customHeight="1" x14ac:dyDescent="0.2">
      <c r="A80" s="289" t="s">
        <v>1170</v>
      </c>
      <c r="B80" s="78" t="s">
        <v>890</v>
      </c>
      <c r="C80" s="74"/>
      <c r="D80" s="74">
        <v>21.42</v>
      </c>
      <c r="E80" s="73">
        <f>D80</f>
        <v>21.42</v>
      </c>
    </row>
    <row r="81" spans="1:5" s="53" customFormat="1" ht="16.5" customHeight="1" x14ac:dyDescent="0.2">
      <c r="A81" s="289"/>
      <c r="B81" s="78" t="s">
        <v>1472</v>
      </c>
      <c r="C81" s="74"/>
      <c r="D81" s="74">
        <v>11.14</v>
      </c>
      <c r="E81" s="73">
        <f>D81</f>
        <v>11.14</v>
      </c>
    </row>
    <row r="82" spans="1:5" s="53" customFormat="1" ht="16.5" customHeight="1" x14ac:dyDescent="0.2">
      <c r="A82" s="289"/>
      <c r="B82" s="78" t="s">
        <v>1473</v>
      </c>
      <c r="C82" s="74"/>
      <c r="D82" s="74">
        <v>10.31</v>
      </c>
      <c r="E82" s="73">
        <f>D82</f>
        <v>10.31</v>
      </c>
    </row>
    <row r="83" spans="1:5" s="53" customFormat="1" ht="16.5" customHeight="1" x14ac:dyDescent="0.2">
      <c r="A83" s="289"/>
      <c r="B83" s="78" t="s">
        <v>891</v>
      </c>
      <c r="C83" s="74"/>
      <c r="D83" s="74">
        <v>11.22</v>
      </c>
      <c r="E83" s="73">
        <f t="shared" ref="E83:E165" si="4">D83</f>
        <v>11.22</v>
      </c>
    </row>
    <row r="84" spans="1:5" s="53" customFormat="1" ht="16.5" customHeight="1" x14ac:dyDescent="0.2">
      <c r="A84" s="289"/>
      <c r="B84" s="78" t="s">
        <v>892</v>
      </c>
      <c r="C84" s="74"/>
      <c r="D84" s="74">
        <v>11.22</v>
      </c>
      <c r="E84" s="73">
        <f t="shared" si="4"/>
        <v>11.22</v>
      </c>
    </row>
    <row r="85" spans="1:5" s="53" customFormat="1" ht="16.5" customHeight="1" x14ac:dyDescent="0.2">
      <c r="A85" s="289"/>
      <c r="B85" s="78" t="s">
        <v>1474</v>
      </c>
      <c r="C85" s="74"/>
      <c r="D85" s="74">
        <v>19.329999999999998</v>
      </c>
      <c r="E85" s="73">
        <f t="shared" si="4"/>
        <v>19.329999999999998</v>
      </c>
    </row>
    <row r="86" spans="1:5" s="53" customFormat="1" ht="16.5" customHeight="1" x14ac:dyDescent="0.2">
      <c r="A86" s="289"/>
      <c r="B86" s="78" t="s">
        <v>894</v>
      </c>
      <c r="C86" s="74"/>
      <c r="D86" s="87">
        <v>13.2</v>
      </c>
      <c r="E86" s="73">
        <f t="shared" si="4"/>
        <v>13.2</v>
      </c>
    </row>
    <row r="87" spans="1:5" s="53" customFormat="1" ht="16.5" customHeight="1" x14ac:dyDescent="0.2">
      <c r="A87" s="289"/>
      <c r="B87" s="88" t="s">
        <v>1475</v>
      </c>
      <c r="C87" s="74"/>
      <c r="D87" s="74">
        <v>99.26</v>
      </c>
      <c r="E87" s="73">
        <f t="shared" ref="E87:E90" si="5">D87</f>
        <v>99.26</v>
      </c>
    </row>
    <row r="88" spans="1:5" s="53" customFormat="1" ht="16.5" customHeight="1" x14ac:dyDescent="0.2">
      <c r="A88" s="289"/>
      <c r="B88" s="88" t="s">
        <v>884</v>
      </c>
      <c r="C88" s="74"/>
      <c r="D88" s="74">
        <v>5.98</v>
      </c>
      <c r="E88" s="73">
        <f t="shared" si="5"/>
        <v>5.98</v>
      </c>
    </row>
    <row r="89" spans="1:5" s="53" customFormat="1" ht="16.5" customHeight="1" x14ac:dyDescent="0.2">
      <c r="A89" s="289"/>
      <c r="B89" s="88" t="s">
        <v>894</v>
      </c>
      <c r="C89" s="74"/>
      <c r="D89" s="74">
        <v>38.549999999999997</v>
      </c>
      <c r="E89" s="73">
        <f t="shared" si="5"/>
        <v>38.549999999999997</v>
      </c>
    </row>
    <row r="90" spans="1:5" s="53" customFormat="1" ht="16.5" customHeight="1" x14ac:dyDescent="0.2">
      <c r="A90" s="289"/>
      <c r="B90" s="88" t="s">
        <v>1476</v>
      </c>
      <c r="C90" s="74"/>
      <c r="D90" s="74">
        <v>36.25</v>
      </c>
      <c r="E90" s="73">
        <f t="shared" si="5"/>
        <v>36.25</v>
      </c>
    </row>
    <row r="91" spans="1:5" s="53" customFormat="1" ht="16.5" customHeight="1" x14ac:dyDescent="0.2">
      <c r="A91" s="286" t="s">
        <v>1171</v>
      </c>
      <c r="B91" s="78" t="s">
        <v>898</v>
      </c>
      <c r="C91" s="74"/>
      <c r="D91" s="74">
        <v>10.42</v>
      </c>
      <c r="E91" s="73">
        <f t="shared" si="4"/>
        <v>10.42</v>
      </c>
    </row>
    <row r="92" spans="1:5" s="53" customFormat="1" ht="16.5" customHeight="1" x14ac:dyDescent="0.2">
      <c r="A92" s="287"/>
      <c r="B92" s="78" t="s">
        <v>899</v>
      </c>
      <c r="C92" s="74"/>
      <c r="D92" s="74">
        <v>5.72</v>
      </c>
      <c r="E92" s="73">
        <f t="shared" si="4"/>
        <v>5.72</v>
      </c>
    </row>
    <row r="93" spans="1:5" s="53" customFormat="1" ht="16.5" customHeight="1" x14ac:dyDescent="0.2">
      <c r="A93" s="287"/>
      <c r="B93" s="78" t="s">
        <v>900</v>
      </c>
      <c r="C93" s="74"/>
      <c r="D93" s="87">
        <v>46.9</v>
      </c>
      <c r="E93" s="73">
        <f t="shared" si="4"/>
        <v>46.9</v>
      </c>
    </row>
    <row r="94" spans="1:5" s="53" customFormat="1" ht="16.5" customHeight="1" x14ac:dyDescent="0.2">
      <c r="A94" s="287"/>
      <c r="B94" s="78" t="s">
        <v>913</v>
      </c>
      <c r="C94" s="74"/>
      <c r="D94" s="74">
        <v>15.85</v>
      </c>
      <c r="E94" s="73">
        <f t="shared" si="4"/>
        <v>15.85</v>
      </c>
    </row>
    <row r="95" spans="1:5" s="53" customFormat="1" ht="16.5" customHeight="1" x14ac:dyDescent="0.2">
      <c r="A95" s="287"/>
      <c r="B95" s="78" t="s">
        <v>901</v>
      </c>
      <c r="C95" s="74"/>
      <c r="D95" s="74">
        <v>11.96</v>
      </c>
      <c r="E95" s="73">
        <f t="shared" si="4"/>
        <v>11.96</v>
      </c>
    </row>
    <row r="96" spans="1:5" s="53" customFormat="1" ht="16.5" customHeight="1" x14ac:dyDescent="0.2">
      <c r="A96" s="287"/>
      <c r="B96" s="78" t="s">
        <v>902</v>
      </c>
      <c r="C96" s="74"/>
      <c r="D96" s="87">
        <v>13.5</v>
      </c>
      <c r="E96" s="73">
        <f t="shared" si="4"/>
        <v>13.5</v>
      </c>
    </row>
    <row r="97" spans="1:5" s="53" customFormat="1" ht="16.5" customHeight="1" x14ac:dyDescent="0.2">
      <c r="A97" s="287"/>
      <c r="B97" s="88" t="s">
        <v>1477</v>
      </c>
      <c r="C97" s="74"/>
      <c r="D97" s="74">
        <v>23.22</v>
      </c>
      <c r="E97" s="73">
        <f t="shared" si="4"/>
        <v>23.22</v>
      </c>
    </row>
    <row r="98" spans="1:5" s="53" customFormat="1" ht="16.5" customHeight="1" x14ac:dyDescent="0.2">
      <c r="A98" s="287"/>
      <c r="B98" s="88" t="s">
        <v>1478</v>
      </c>
      <c r="C98" s="74"/>
      <c r="D98" s="74">
        <f>18.73+7.76</f>
        <v>26.490000000000002</v>
      </c>
      <c r="E98" s="73">
        <f t="shared" si="4"/>
        <v>26.490000000000002</v>
      </c>
    </row>
    <row r="99" spans="1:5" s="53" customFormat="1" ht="16.5" customHeight="1" x14ac:dyDescent="0.2">
      <c r="A99" s="287"/>
      <c r="B99" s="88" t="s">
        <v>1479</v>
      </c>
      <c r="C99" s="74"/>
      <c r="D99" s="74">
        <f>48.79+(0.1*10.53)</f>
        <v>49.842999999999996</v>
      </c>
      <c r="E99" s="73">
        <f t="shared" si="4"/>
        <v>49.842999999999996</v>
      </c>
    </row>
    <row r="100" spans="1:5" s="53" customFormat="1" ht="16.5" customHeight="1" x14ac:dyDescent="0.2">
      <c r="A100" s="287"/>
      <c r="B100" s="88" t="s">
        <v>1480</v>
      </c>
      <c r="C100" s="74"/>
      <c r="D100" s="74">
        <v>17.16</v>
      </c>
      <c r="E100" s="73">
        <f t="shared" si="4"/>
        <v>17.16</v>
      </c>
    </row>
    <row r="101" spans="1:5" s="53" customFormat="1" ht="16.5" customHeight="1" x14ac:dyDescent="0.2">
      <c r="A101" s="287"/>
      <c r="B101" s="88" t="s">
        <v>1481</v>
      </c>
      <c r="C101" s="74"/>
      <c r="D101" s="74">
        <v>68.150000000000006</v>
      </c>
      <c r="E101" s="73">
        <f t="shared" si="4"/>
        <v>68.150000000000006</v>
      </c>
    </row>
    <row r="102" spans="1:5" s="53" customFormat="1" ht="16.5" customHeight="1" x14ac:dyDescent="0.2">
      <c r="A102" s="287"/>
      <c r="B102" s="88" t="s">
        <v>1479</v>
      </c>
      <c r="C102" s="74"/>
      <c r="D102" s="87">
        <f>188+(6.34*0.7)+(10.9*5*0.1)</f>
        <v>197.88799999999998</v>
      </c>
      <c r="E102" s="73">
        <f t="shared" si="4"/>
        <v>197.88799999999998</v>
      </c>
    </row>
    <row r="103" spans="1:5" s="53" customFormat="1" ht="16.5" customHeight="1" x14ac:dyDescent="0.2">
      <c r="A103" s="287"/>
      <c r="B103" s="88" t="s">
        <v>1482</v>
      </c>
      <c r="C103" s="74"/>
      <c r="D103" s="74">
        <v>67.83</v>
      </c>
      <c r="E103" s="73">
        <f t="shared" si="4"/>
        <v>67.83</v>
      </c>
    </row>
    <row r="104" spans="1:5" s="53" customFormat="1" ht="16.5" customHeight="1" x14ac:dyDescent="0.2">
      <c r="A104" s="288"/>
      <c r="B104" s="88" t="s">
        <v>1483</v>
      </c>
      <c r="C104" s="74"/>
      <c r="D104" s="74">
        <f>7.86+(1.13*9)+(0.74*15)</f>
        <v>29.129999999999995</v>
      </c>
      <c r="E104" s="73">
        <f t="shared" ref="E104" si="6">D104</f>
        <v>29.129999999999995</v>
      </c>
    </row>
    <row r="105" spans="1:5" s="53" customFormat="1" ht="16.5" customHeight="1" x14ac:dyDescent="0.2">
      <c r="A105" s="286" t="s">
        <v>1172</v>
      </c>
      <c r="B105" s="78" t="s">
        <v>1173</v>
      </c>
      <c r="C105" s="74"/>
      <c r="D105" s="74">
        <v>54.84</v>
      </c>
      <c r="E105" s="73">
        <f t="shared" si="4"/>
        <v>54.84</v>
      </c>
    </row>
    <row r="106" spans="1:5" s="53" customFormat="1" ht="16.5" customHeight="1" x14ac:dyDescent="0.2">
      <c r="A106" s="287"/>
      <c r="B106" s="78" t="s">
        <v>1174</v>
      </c>
      <c r="C106" s="74"/>
      <c r="D106" s="87">
        <v>19.5</v>
      </c>
      <c r="E106" s="73">
        <f t="shared" si="4"/>
        <v>19.5</v>
      </c>
    </row>
    <row r="107" spans="1:5" s="53" customFormat="1" ht="16.5" customHeight="1" x14ac:dyDescent="0.2">
      <c r="A107" s="287"/>
      <c r="B107" s="78" t="s">
        <v>914</v>
      </c>
      <c r="C107" s="74"/>
      <c r="D107" s="74">
        <v>16.95</v>
      </c>
      <c r="E107" s="73">
        <f t="shared" si="4"/>
        <v>16.95</v>
      </c>
    </row>
    <row r="108" spans="1:5" s="53" customFormat="1" ht="16.5" customHeight="1" x14ac:dyDescent="0.2">
      <c r="A108" s="287"/>
      <c r="B108" s="78" t="s">
        <v>915</v>
      </c>
      <c r="C108" s="74"/>
      <c r="D108" s="74">
        <v>7.58</v>
      </c>
      <c r="E108" s="73">
        <f t="shared" si="4"/>
        <v>7.58</v>
      </c>
    </row>
    <row r="109" spans="1:5" s="53" customFormat="1" ht="16.5" customHeight="1" x14ac:dyDescent="0.2">
      <c r="A109" s="287"/>
      <c r="B109" s="78" t="s">
        <v>1546</v>
      </c>
      <c r="C109" s="74"/>
      <c r="D109" s="74">
        <v>8.48</v>
      </c>
      <c r="E109" s="73">
        <f t="shared" si="4"/>
        <v>8.48</v>
      </c>
    </row>
    <row r="110" spans="1:5" s="53" customFormat="1" ht="16.5" customHeight="1" x14ac:dyDescent="0.2">
      <c r="A110" s="287"/>
      <c r="B110" s="88" t="s">
        <v>1175</v>
      </c>
      <c r="C110" s="74"/>
      <c r="D110" s="87">
        <v>124.14</v>
      </c>
      <c r="E110" s="73">
        <f t="shared" si="4"/>
        <v>124.14</v>
      </c>
    </row>
    <row r="111" spans="1:5" s="53" customFormat="1" ht="16.5" customHeight="1" x14ac:dyDescent="0.2">
      <c r="A111" s="287"/>
      <c r="B111" s="88" t="s">
        <v>1547</v>
      </c>
      <c r="C111" s="74"/>
      <c r="D111" s="87">
        <v>12.31</v>
      </c>
      <c r="E111" s="73">
        <f t="shared" ref="E111:E114" si="7">D111</f>
        <v>12.31</v>
      </c>
    </row>
    <row r="112" spans="1:5" s="53" customFormat="1" ht="16.5" customHeight="1" x14ac:dyDescent="0.2">
      <c r="A112" s="287"/>
      <c r="B112" s="88" t="s">
        <v>884</v>
      </c>
      <c r="C112" s="74"/>
      <c r="D112" s="87">
        <v>6.26</v>
      </c>
      <c r="E112" s="73">
        <f t="shared" si="7"/>
        <v>6.26</v>
      </c>
    </row>
    <row r="113" spans="1:6" s="53" customFormat="1" ht="16.5" customHeight="1" x14ac:dyDescent="0.2">
      <c r="A113" s="287"/>
      <c r="B113" s="88" t="s">
        <v>1548</v>
      </c>
      <c r="C113" s="74"/>
      <c r="D113" s="87">
        <v>23.48</v>
      </c>
      <c r="E113" s="73">
        <f t="shared" si="7"/>
        <v>23.48</v>
      </c>
    </row>
    <row r="114" spans="1:6" s="53" customFormat="1" ht="16.5" customHeight="1" x14ac:dyDescent="0.2">
      <c r="A114" s="287"/>
      <c r="B114" s="88" t="s">
        <v>1549</v>
      </c>
      <c r="C114" s="74"/>
      <c r="D114" s="87">
        <v>33.869999999999997</v>
      </c>
      <c r="E114" s="73">
        <f t="shared" si="7"/>
        <v>33.869999999999997</v>
      </c>
    </row>
    <row r="115" spans="1:6" s="53" customFormat="1" ht="16.5" customHeight="1" x14ac:dyDescent="0.2">
      <c r="A115" s="288"/>
      <c r="B115" s="88" t="s">
        <v>1479</v>
      </c>
      <c r="C115" s="74"/>
      <c r="D115" s="87">
        <f>92.25+(11.95*0.1*5)</f>
        <v>98.224999999999994</v>
      </c>
      <c r="E115" s="73">
        <f t="shared" si="4"/>
        <v>98.224999999999994</v>
      </c>
    </row>
    <row r="116" spans="1:6" s="53" customFormat="1" ht="16.5" customHeight="1" x14ac:dyDescent="0.2">
      <c r="A116" s="286" t="s">
        <v>920</v>
      </c>
      <c r="B116" s="78" t="s">
        <v>1176</v>
      </c>
      <c r="C116" s="74"/>
      <c r="D116" s="74">
        <v>28.43</v>
      </c>
      <c r="E116" s="73">
        <f t="shared" si="4"/>
        <v>28.43</v>
      </c>
      <c r="F116" s="53" t="s">
        <v>1571</v>
      </c>
    </row>
    <row r="117" spans="1:6" s="53" customFormat="1" ht="16.5" customHeight="1" x14ac:dyDescent="0.2">
      <c r="A117" s="287"/>
      <c r="B117" s="78" t="s">
        <v>1177</v>
      </c>
      <c r="C117" s="74"/>
      <c r="D117" s="74">
        <v>41.4</v>
      </c>
      <c r="E117" s="73">
        <f t="shared" si="4"/>
        <v>41.4</v>
      </c>
    </row>
    <row r="118" spans="1:6" s="53" customFormat="1" ht="16.5" customHeight="1" x14ac:dyDescent="0.2">
      <c r="A118" s="287"/>
      <c r="B118" s="78" t="s">
        <v>1178</v>
      </c>
      <c r="C118" s="74"/>
      <c r="D118" s="87">
        <v>8.64</v>
      </c>
      <c r="E118" s="73">
        <f t="shared" si="4"/>
        <v>8.64</v>
      </c>
    </row>
    <row r="119" spans="1:6" s="53" customFormat="1" ht="16.5" customHeight="1" x14ac:dyDescent="0.2">
      <c r="A119" s="287"/>
      <c r="B119" s="78" t="s">
        <v>1164</v>
      </c>
      <c r="C119" s="74"/>
      <c r="D119" s="87">
        <f>3.15*2</f>
        <v>6.3</v>
      </c>
      <c r="E119" s="73">
        <f t="shared" si="4"/>
        <v>6.3</v>
      </c>
    </row>
    <row r="120" spans="1:6" s="53" customFormat="1" ht="16.5" customHeight="1" x14ac:dyDescent="0.2">
      <c r="A120" s="287"/>
      <c r="B120" s="78" t="s">
        <v>916</v>
      </c>
      <c r="C120" s="74"/>
      <c r="D120" s="87">
        <v>3.68</v>
      </c>
      <c r="E120" s="73">
        <f t="shared" si="4"/>
        <v>3.68</v>
      </c>
    </row>
    <row r="121" spans="1:6" s="53" customFormat="1" ht="16.5" customHeight="1" x14ac:dyDescent="0.2">
      <c r="A121" s="287"/>
      <c r="B121" s="78" t="s">
        <v>1179</v>
      </c>
      <c r="C121" s="74"/>
      <c r="D121" s="74">
        <v>3.68</v>
      </c>
      <c r="E121" s="73">
        <f t="shared" si="4"/>
        <v>3.68</v>
      </c>
    </row>
    <row r="122" spans="1:6" s="53" customFormat="1" ht="16.5" customHeight="1" x14ac:dyDescent="0.2">
      <c r="A122" s="287"/>
      <c r="B122" s="88" t="s">
        <v>926</v>
      </c>
      <c r="C122" s="74"/>
      <c r="D122" s="87">
        <v>16.72</v>
      </c>
      <c r="E122" s="73">
        <f t="shared" si="4"/>
        <v>16.72</v>
      </c>
    </row>
    <row r="123" spans="1:6" s="53" customFormat="1" ht="16.5" customHeight="1" x14ac:dyDescent="0.2">
      <c r="A123" s="287"/>
      <c r="B123" s="88" t="s">
        <v>884</v>
      </c>
      <c r="C123" s="74"/>
      <c r="D123" s="87">
        <v>6.26</v>
      </c>
      <c r="E123" s="73">
        <f t="shared" si="4"/>
        <v>6.26</v>
      </c>
    </row>
    <row r="124" spans="1:6" s="53" customFormat="1" ht="16.5" customHeight="1" x14ac:dyDescent="0.2">
      <c r="A124" s="287"/>
      <c r="B124" s="88" t="s">
        <v>1180</v>
      </c>
      <c r="C124" s="74"/>
      <c r="D124" s="87">
        <v>12.02</v>
      </c>
      <c r="E124" s="73">
        <f t="shared" si="4"/>
        <v>12.02</v>
      </c>
    </row>
    <row r="125" spans="1:6" s="53" customFormat="1" ht="16.5" customHeight="1" x14ac:dyDescent="0.2">
      <c r="A125" s="287"/>
      <c r="B125" s="88" t="s">
        <v>1182</v>
      </c>
      <c r="C125" s="74"/>
      <c r="D125" s="87">
        <f>12.42+(8*5)+13.48</f>
        <v>65.900000000000006</v>
      </c>
      <c r="E125" s="73">
        <f t="shared" si="4"/>
        <v>65.900000000000006</v>
      </c>
    </row>
    <row r="126" spans="1:6" s="53" customFormat="1" ht="16.5" customHeight="1" x14ac:dyDescent="0.2">
      <c r="A126" s="287"/>
      <c r="B126" s="88" t="s">
        <v>1183</v>
      </c>
      <c r="C126" s="74"/>
      <c r="D126" s="87">
        <f>15.65+(8*11.83)+11.74</f>
        <v>122.03</v>
      </c>
      <c r="E126" s="73">
        <f t="shared" si="4"/>
        <v>122.03</v>
      </c>
    </row>
    <row r="127" spans="1:6" s="53" customFormat="1" ht="16.5" customHeight="1" x14ac:dyDescent="0.2">
      <c r="A127" s="287"/>
      <c r="B127" s="88" t="s">
        <v>1184</v>
      </c>
      <c r="C127" s="74"/>
      <c r="D127" s="87">
        <f>12.12+(8*12.24)+12.12</f>
        <v>122.16000000000001</v>
      </c>
      <c r="E127" s="73">
        <f t="shared" si="4"/>
        <v>122.16000000000001</v>
      </c>
    </row>
    <row r="128" spans="1:6" s="53" customFormat="1" ht="16.5" customHeight="1" x14ac:dyDescent="0.2">
      <c r="A128" s="286" t="s">
        <v>924</v>
      </c>
      <c r="B128" s="78" t="s">
        <v>1176</v>
      </c>
      <c r="C128" s="74"/>
      <c r="D128" s="74">
        <v>28.43</v>
      </c>
      <c r="E128" s="73">
        <f t="shared" si="4"/>
        <v>28.43</v>
      </c>
    </row>
    <row r="129" spans="1:5" s="53" customFormat="1" ht="16.5" customHeight="1" x14ac:dyDescent="0.2">
      <c r="A129" s="287"/>
      <c r="B129" s="78" t="s">
        <v>1177</v>
      </c>
      <c r="C129" s="74"/>
      <c r="D129" s="87">
        <v>41.4</v>
      </c>
      <c r="E129" s="73">
        <f t="shared" si="4"/>
        <v>41.4</v>
      </c>
    </row>
    <row r="130" spans="1:5" s="53" customFormat="1" ht="16.5" customHeight="1" x14ac:dyDescent="0.2">
      <c r="A130" s="287"/>
      <c r="B130" s="78" t="s">
        <v>1178</v>
      </c>
      <c r="C130" s="74"/>
      <c r="D130" s="87">
        <v>8.64</v>
      </c>
      <c r="E130" s="73">
        <f t="shared" si="4"/>
        <v>8.64</v>
      </c>
    </row>
    <row r="131" spans="1:5" s="53" customFormat="1" ht="16.5" customHeight="1" x14ac:dyDescent="0.2">
      <c r="A131" s="287"/>
      <c r="B131" s="78" t="s">
        <v>1164</v>
      </c>
      <c r="C131" s="74"/>
      <c r="D131" s="87">
        <f>3.15*2</f>
        <v>6.3</v>
      </c>
      <c r="E131" s="73">
        <f t="shared" si="4"/>
        <v>6.3</v>
      </c>
    </row>
    <row r="132" spans="1:5" s="53" customFormat="1" ht="16.5" customHeight="1" x14ac:dyDescent="0.2">
      <c r="A132" s="287"/>
      <c r="B132" s="78" t="s">
        <v>916</v>
      </c>
      <c r="C132" s="74"/>
      <c r="D132" s="74">
        <v>3.68</v>
      </c>
      <c r="E132" s="73">
        <f t="shared" si="4"/>
        <v>3.68</v>
      </c>
    </row>
    <row r="133" spans="1:5" s="53" customFormat="1" ht="16.5" customHeight="1" x14ac:dyDescent="0.2">
      <c r="A133" s="287"/>
      <c r="B133" s="78" t="s">
        <v>1179</v>
      </c>
      <c r="C133" s="74"/>
      <c r="D133" s="74">
        <v>3.68</v>
      </c>
      <c r="E133" s="73">
        <f t="shared" si="4"/>
        <v>3.68</v>
      </c>
    </row>
    <row r="134" spans="1:5" s="53" customFormat="1" ht="16.5" customHeight="1" x14ac:dyDescent="0.2">
      <c r="A134" s="287"/>
      <c r="B134" s="88" t="s">
        <v>926</v>
      </c>
      <c r="C134" s="74"/>
      <c r="D134" s="87">
        <v>16.72</v>
      </c>
      <c r="E134" s="73">
        <f t="shared" si="4"/>
        <v>16.72</v>
      </c>
    </row>
    <row r="135" spans="1:5" s="53" customFormat="1" ht="16.5" customHeight="1" x14ac:dyDescent="0.2">
      <c r="A135" s="287"/>
      <c r="B135" s="88" t="s">
        <v>884</v>
      </c>
      <c r="C135" s="74"/>
      <c r="D135" s="87">
        <v>6.26</v>
      </c>
      <c r="E135" s="73">
        <f t="shared" ref="E135" si="8">D135</f>
        <v>6.26</v>
      </c>
    </row>
    <row r="136" spans="1:5" s="53" customFormat="1" ht="16.5" customHeight="1" x14ac:dyDescent="0.2">
      <c r="A136" s="287"/>
      <c r="B136" s="88" t="s">
        <v>1180</v>
      </c>
      <c r="C136" s="74"/>
      <c r="D136" s="87">
        <v>12.02</v>
      </c>
      <c r="E136" s="73">
        <f t="shared" si="4"/>
        <v>12.02</v>
      </c>
    </row>
    <row r="137" spans="1:5" s="53" customFormat="1" ht="16.5" customHeight="1" x14ac:dyDescent="0.2">
      <c r="A137" s="287"/>
      <c r="B137" s="88" t="s">
        <v>1182</v>
      </c>
      <c r="C137" s="74"/>
      <c r="D137" s="87">
        <f>12.42+(8*5)+13.48</f>
        <v>65.900000000000006</v>
      </c>
      <c r="E137" s="73">
        <f t="shared" ref="E137:E139" si="9">D137</f>
        <v>65.900000000000006</v>
      </c>
    </row>
    <row r="138" spans="1:5" s="53" customFormat="1" ht="16.5" customHeight="1" x14ac:dyDescent="0.2">
      <c r="A138" s="287"/>
      <c r="B138" s="88" t="s">
        <v>1183</v>
      </c>
      <c r="C138" s="74"/>
      <c r="D138" s="87">
        <f>15.65+(8*11.83)+11.74</f>
        <v>122.03</v>
      </c>
      <c r="E138" s="73">
        <f t="shared" si="9"/>
        <v>122.03</v>
      </c>
    </row>
    <row r="139" spans="1:5" s="53" customFormat="1" ht="16.5" customHeight="1" x14ac:dyDescent="0.2">
      <c r="A139" s="287"/>
      <c r="B139" s="88" t="s">
        <v>1184</v>
      </c>
      <c r="C139" s="74"/>
      <c r="D139" s="87">
        <f>12.12+(8*12.24)+12.12</f>
        <v>122.16000000000001</v>
      </c>
      <c r="E139" s="73">
        <f t="shared" si="9"/>
        <v>122.16000000000001</v>
      </c>
    </row>
    <row r="140" spans="1:5" s="53" customFormat="1" ht="16.5" customHeight="1" x14ac:dyDescent="0.2">
      <c r="A140" s="286" t="s">
        <v>925</v>
      </c>
      <c r="B140" s="78" t="s">
        <v>1176</v>
      </c>
      <c r="C140" s="74"/>
      <c r="D140" s="74">
        <v>46.47</v>
      </c>
      <c r="E140" s="73">
        <f t="shared" si="4"/>
        <v>46.47</v>
      </c>
    </row>
    <row r="141" spans="1:5" s="53" customFormat="1" ht="16.5" customHeight="1" x14ac:dyDescent="0.2">
      <c r="A141" s="287"/>
      <c r="B141" s="78" t="s">
        <v>1181</v>
      </c>
      <c r="C141" s="74"/>
      <c r="D141" s="74">
        <v>17.16</v>
      </c>
      <c r="E141" s="73">
        <f t="shared" si="4"/>
        <v>17.16</v>
      </c>
    </row>
    <row r="142" spans="1:5" s="53" customFormat="1" ht="16.5" customHeight="1" x14ac:dyDescent="0.2">
      <c r="A142" s="287"/>
      <c r="B142" s="78" t="s">
        <v>1178</v>
      </c>
      <c r="C142" s="74"/>
      <c r="D142" s="87">
        <f>9.55+5.25</f>
        <v>14.8</v>
      </c>
      <c r="E142" s="73">
        <f t="shared" si="4"/>
        <v>14.8</v>
      </c>
    </row>
    <row r="143" spans="1:5" s="53" customFormat="1" ht="16.5" customHeight="1" x14ac:dyDescent="0.2">
      <c r="A143" s="287"/>
      <c r="B143" s="78" t="s">
        <v>1164</v>
      </c>
      <c r="C143" s="74"/>
      <c r="D143" s="87">
        <f>3.15*2</f>
        <v>6.3</v>
      </c>
      <c r="E143" s="73">
        <f t="shared" si="4"/>
        <v>6.3</v>
      </c>
    </row>
    <row r="144" spans="1:5" s="53" customFormat="1" ht="16.5" customHeight="1" x14ac:dyDescent="0.2">
      <c r="A144" s="287"/>
      <c r="B144" s="78" t="s">
        <v>916</v>
      </c>
      <c r="C144" s="74"/>
      <c r="D144" s="74">
        <v>3.68</v>
      </c>
      <c r="E144" s="73">
        <f t="shared" si="4"/>
        <v>3.68</v>
      </c>
    </row>
    <row r="145" spans="1:5" s="53" customFormat="1" ht="16.5" customHeight="1" x14ac:dyDescent="0.2">
      <c r="A145" s="287"/>
      <c r="B145" s="78" t="s">
        <v>894</v>
      </c>
      <c r="C145" s="74"/>
      <c r="D145" s="74">
        <v>36.729999999999997</v>
      </c>
      <c r="E145" s="73">
        <f t="shared" si="4"/>
        <v>36.729999999999997</v>
      </c>
    </row>
    <row r="146" spans="1:5" s="53" customFormat="1" ht="16.5" customHeight="1" x14ac:dyDescent="0.2">
      <c r="A146" s="287"/>
      <c r="B146" s="88" t="s">
        <v>926</v>
      </c>
      <c r="C146" s="74"/>
      <c r="D146" s="87">
        <v>16.72</v>
      </c>
      <c r="E146" s="73">
        <f t="shared" si="4"/>
        <v>16.72</v>
      </c>
    </row>
    <row r="147" spans="1:5" s="53" customFormat="1" ht="16.5" customHeight="1" x14ac:dyDescent="0.2">
      <c r="A147" s="287"/>
      <c r="B147" s="88" t="s">
        <v>884</v>
      </c>
      <c r="C147" s="74"/>
      <c r="D147" s="87">
        <v>6.26</v>
      </c>
      <c r="E147" s="73">
        <f t="shared" si="4"/>
        <v>6.26</v>
      </c>
    </row>
    <row r="148" spans="1:5" s="53" customFormat="1" ht="16.5" customHeight="1" x14ac:dyDescent="0.2">
      <c r="A148" s="287"/>
      <c r="B148" s="88" t="s">
        <v>1180</v>
      </c>
      <c r="C148" s="74"/>
      <c r="D148" s="87">
        <v>12.02</v>
      </c>
      <c r="E148" s="73">
        <f t="shared" si="4"/>
        <v>12.02</v>
      </c>
    </row>
    <row r="149" spans="1:5" s="53" customFormat="1" ht="16.5" customHeight="1" x14ac:dyDescent="0.2">
      <c r="A149" s="287"/>
      <c r="B149" s="88" t="s">
        <v>1182</v>
      </c>
      <c r="C149" s="74"/>
      <c r="D149" s="87">
        <f>12.42+(8*5)+13.48</f>
        <v>65.900000000000006</v>
      </c>
      <c r="E149" s="73">
        <f t="shared" si="4"/>
        <v>65.900000000000006</v>
      </c>
    </row>
    <row r="150" spans="1:5" s="53" customFormat="1" ht="16.5" customHeight="1" x14ac:dyDescent="0.2">
      <c r="A150" s="287"/>
      <c r="B150" s="88" t="s">
        <v>1183</v>
      </c>
      <c r="C150" s="74"/>
      <c r="D150" s="87">
        <f>15.65+(8*11.83)+11.74</f>
        <v>122.03</v>
      </c>
      <c r="E150" s="73">
        <f t="shared" si="4"/>
        <v>122.03</v>
      </c>
    </row>
    <row r="151" spans="1:5" s="53" customFormat="1" ht="16.5" customHeight="1" x14ac:dyDescent="0.2">
      <c r="A151" s="287"/>
      <c r="B151" s="88" t="s">
        <v>1184</v>
      </c>
      <c r="C151" s="74"/>
      <c r="D151" s="87">
        <f>12.12+(8*12.24)+12.12</f>
        <v>122.16000000000001</v>
      </c>
      <c r="E151" s="73">
        <f t="shared" si="4"/>
        <v>122.16000000000001</v>
      </c>
    </row>
    <row r="152" spans="1:5" s="53" customFormat="1" ht="16.5" customHeight="1" x14ac:dyDescent="0.2">
      <c r="A152" s="286" t="s">
        <v>1009</v>
      </c>
      <c r="B152" s="78" t="s">
        <v>1176</v>
      </c>
      <c r="C152" s="74"/>
      <c r="D152" s="74">
        <v>46.47</v>
      </c>
      <c r="E152" s="73">
        <f t="shared" ref="E152:E164" si="10">D152</f>
        <v>46.47</v>
      </c>
    </row>
    <row r="153" spans="1:5" s="53" customFormat="1" ht="16.5" customHeight="1" x14ac:dyDescent="0.2">
      <c r="A153" s="287"/>
      <c r="B153" s="78" t="s">
        <v>1181</v>
      </c>
      <c r="C153" s="74"/>
      <c r="D153" s="74">
        <v>17.16</v>
      </c>
      <c r="E153" s="73">
        <f t="shared" si="10"/>
        <v>17.16</v>
      </c>
    </row>
    <row r="154" spans="1:5" s="53" customFormat="1" ht="16.5" customHeight="1" x14ac:dyDescent="0.2">
      <c r="A154" s="287"/>
      <c r="B154" s="78" t="s">
        <v>1178</v>
      </c>
      <c r="C154" s="74"/>
      <c r="D154" s="87">
        <f>9.55+5.25</f>
        <v>14.8</v>
      </c>
      <c r="E154" s="73">
        <f t="shared" si="10"/>
        <v>14.8</v>
      </c>
    </row>
    <row r="155" spans="1:5" s="53" customFormat="1" ht="16.5" customHeight="1" x14ac:dyDescent="0.2">
      <c r="A155" s="287"/>
      <c r="B155" s="78" t="s">
        <v>1164</v>
      </c>
      <c r="C155" s="74"/>
      <c r="D155" s="87">
        <f>3.15*2</f>
        <v>6.3</v>
      </c>
      <c r="E155" s="73">
        <f t="shared" si="10"/>
        <v>6.3</v>
      </c>
    </row>
    <row r="156" spans="1:5" s="53" customFormat="1" ht="16.5" customHeight="1" x14ac:dyDescent="0.2">
      <c r="A156" s="287"/>
      <c r="B156" s="78" t="s">
        <v>916</v>
      </c>
      <c r="C156" s="74"/>
      <c r="D156" s="74">
        <v>3.68</v>
      </c>
      <c r="E156" s="73">
        <f t="shared" si="10"/>
        <v>3.68</v>
      </c>
    </row>
    <row r="157" spans="1:5" s="53" customFormat="1" ht="16.5" customHeight="1" x14ac:dyDescent="0.2">
      <c r="A157" s="287"/>
      <c r="B157" s="78" t="s">
        <v>894</v>
      </c>
      <c r="C157" s="74"/>
      <c r="D157" s="74">
        <v>36.729999999999997</v>
      </c>
      <c r="E157" s="73">
        <f t="shared" si="10"/>
        <v>36.729999999999997</v>
      </c>
    </row>
    <row r="158" spans="1:5" s="53" customFormat="1" ht="16.5" customHeight="1" x14ac:dyDescent="0.2">
      <c r="A158" s="287"/>
      <c r="B158" s="88" t="s">
        <v>926</v>
      </c>
      <c r="C158" s="74"/>
      <c r="D158" s="87">
        <v>16.72</v>
      </c>
      <c r="E158" s="73">
        <f t="shared" si="10"/>
        <v>16.72</v>
      </c>
    </row>
    <row r="159" spans="1:5" s="53" customFormat="1" ht="16.5" customHeight="1" x14ac:dyDescent="0.2">
      <c r="A159" s="287"/>
      <c r="B159" s="88" t="s">
        <v>884</v>
      </c>
      <c r="C159" s="74"/>
      <c r="D159" s="87">
        <v>6.26</v>
      </c>
      <c r="E159" s="73">
        <f t="shared" si="10"/>
        <v>6.26</v>
      </c>
    </row>
    <row r="160" spans="1:5" s="53" customFormat="1" ht="16.5" customHeight="1" x14ac:dyDescent="0.2">
      <c r="A160" s="287"/>
      <c r="B160" s="88" t="s">
        <v>1180</v>
      </c>
      <c r="C160" s="74"/>
      <c r="D160" s="87">
        <v>12.02</v>
      </c>
      <c r="E160" s="73">
        <f t="shared" si="10"/>
        <v>12.02</v>
      </c>
    </row>
    <row r="161" spans="1:5" s="53" customFormat="1" ht="16.5" customHeight="1" x14ac:dyDescent="0.2">
      <c r="A161" s="287"/>
      <c r="B161" s="88" t="s">
        <v>1182</v>
      </c>
      <c r="C161" s="74"/>
      <c r="D161" s="87">
        <f>12.42+(8*5)+13.48</f>
        <v>65.900000000000006</v>
      </c>
      <c r="E161" s="73">
        <f t="shared" si="10"/>
        <v>65.900000000000006</v>
      </c>
    </row>
    <row r="162" spans="1:5" s="53" customFormat="1" ht="16.5" customHeight="1" x14ac:dyDescent="0.2">
      <c r="A162" s="287"/>
      <c r="B162" s="88" t="s">
        <v>1183</v>
      </c>
      <c r="C162" s="74"/>
      <c r="D162" s="87">
        <f>15.65+(8*11.83)+11.74</f>
        <v>122.03</v>
      </c>
      <c r="E162" s="73">
        <f t="shared" ref="E162" si="11">D162</f>
        <v>122.03</v>
      </c>
    </row>
    <row r="163" spans="1:5" s="53" customFormat="1" ht="16.5" customHeight="1" x14ac:dyDescent="0.2">
      <c r="A163" s="288"/>
      <c r="B163" s="88" t="s">
        <v>1184</v>
      </c>
      <c r="C163" s="74"/>
      <c r="D163" s="87">
        <f>12.12+(8*12.24)+12.12</f>
        <v>122.16000000000001</v>
      </c>
      <c r="E163" s="73">
        <f t="shared" si="10"/>
        <v>122.16000000000001</v>
      </c>
    </row>
    <row r="164" spans="1:5" s="53" customFormat="1" ht="16.5" customHeight="1" x14ac:dyDescent="0.2">
      <c r="A164" s="120" t="s">
        <v>1709</v>
      </c>
      <c r="B164" s="88"/>
      <c r="C164" s="74"/>
      <c r="D164" s="87">
        <v>354</v>
      </c>
      <c r="E164" s="73">
        <f t="shared" si="10"/>
        <v>354</v>
      </c>
    </row>
    <row r="165" spans="1:5" s="53" customFormat="1" ht="16.5" customHeight="1" x14ac:dyDescent="0.2">
      <c r="A165" s="120" t="s">
        <v>960</v>
      </c>
      <c r="B165" s="75" t="s">
        <v>961</v>
      </c>
      <c r="C165" s="74"/>
      <c r="D165" s="87">
        <f>77.28+65.76+66.82</f>
        <v>209.86</v>
      </c>
      <c r="E165" s="73">
        <f t="shared" si="4"/>
        <v>209.86</v>
      </c>
    </row>
    <row r="166" spans="1:5" s="53" customFormat="1" ht="16.5" customHeight="1" x14ac:dyDescent="0.2">
      <c r="A166" s="210" t="s">
        <v>888</v>
      </c>
      <c r="B166" s="211"/>
      <c r="C166" s="211"/>
      <c r="D166" s="211"/>
      <c r="E166" s="73">
        <f>SUM(E56:E165)</f>
        <v>4266.4359999999997</v>
      </c>
    </row>
    <row r="167" spans="1:5" s="53" customFormat="1" ht="16.5" customHeight="1" x14ac:dyDescent="0.2">
      <c r="A167" s="210" t="s">
        <v>889</v>
      </c>
      <c r="B167" s="211"/>
      <c r="C167" s="211"/>
      <c r="D167" s="211"/>
      <c r="E167" s="73">
        <v>4858.42</v>
      </c>
    </row>
    <row r="168" spans="1:5" s="43" customFormat="1" ht="14.25" customHeight="1" x14ac:dyDescent="0.2">
      <c r="A168" s="210" t="s">
        <v>1493</v>
      </c>
      <c r="B168" s="211"/>
      <c r="C168" s="211"/>
      <c r="D168" s="211"/>
      <c r="E168" s="50">
        <v>2673.1</v>
      </c>
    </row>
    <row r="169" spans="1:5" s="43" customFormat="1" ht="16.5" customHeight="1" x14ac:dyDescent="0.2">
      <c r="A169" s="212" t="s">
        <v>1494</v>
      </c>
      <c r="B169" s="213"/>
      <c r="C169" s="213"/>
      <c r="D169" s="213"/>
      <c r="E169" s="72">
        <f>E166-E168</f>
        <v>1593.3359999999998</v>
      </c>
    </row>
    <row r="170" spans="1:5" ht="14.25" customHeight="1" x14ac:dyDescent="0.2">
      <c r="A170" s="228"/>
      <c r="B170" s="229"/>
      <c r="C170" s="82"/>
      <c r="D170" s="82"/>
      <c r="E170" s="83"/>
    </row>
    <row r="171" spans="1:5" s="43" customFormat="1" ht="40.5" customHeight="1" x14ac:dyDescent="0.2">
      <c r="A171" s="45" t="s">
        <v>1268</v>
      </c>
      <c r="B171" s="214" t="s">
        <v>248</v>
      </c>
      <c r="C171" s="214"/>
      <c r="D171" s="214"/>
      <c r="E171" s="214"/>
    </row>
    <row r="172" spans="1:5" ht="14.25" customHeight="1" x14ac:dyDescent="0.2">
      <c r="A172" s="253" t="s">
        <v>821</v>
      </c>
      <c r="B172" s="254"/>
      <c r="C172" s="49"/>
      <c r="D172" s="49" t="s">
        <v>1139</v>
      </c>
      <c r="E172" s="125" t="s">
        <v>1317</v>
      </c>
    </row>
    <row r="173" spans="1:5" ht="15" customHeight="1" x14ac:dyDescent="0.2">
      <c r="A173" s="255" t="s">
        <v>1269</v>
      </c>
      <c r="B173" s="256"/>
      <c r="C173" s="95"/>
      <c r="D173" s="95">
        <v>55</v>
      </c>
      <c r="E173" s="62">
        <f>D173</f>
        <v>55</v>
      </c>
    </row>
    <row r="174" spans="1:5" ht="15" customHeight="1" x14ac:dyDescent="0.2">
      <c r="A174" s="128"/>
      <c r="B174" s="127"/>
      <c r="C174" s="95"/>
      <c r="D174" s="95"/>
      <c r="E174" s="62"/>
    </row>
    <row r="175" spans="1:5" ht="13.5" customHeight="1" x14ac:dyDescent="0.2">
      <c r="A175" s="293" t="s">
        <v>1572</v>
      </c>
      <c r="B175" s="294"/>
      <c r="C175" s="294"/>
      <c r="D175" s="295"/>
      <c r="E175" s="62">
        <f xml:space="preserve"> SUM(E173:E173)</f>
        <v>55</v>
      </c>
    </row>
    <row r="176" spans="1:5" ht="14.25" customHeight="1" x14ac:dyDescent="0.2">
      <c r="A176" s="293" t="s">
        <v>1573</v>
      </c>
      <c r="B176" s="294"/>
      <c r="C176" s="294"/>
      <c r="D176" s="295"/>
      <c r="E176" s="62">
        <v>108.88</v>
      </c>
    </row>
    <row r="177" spans="1:6" ht="14.25" customHeight="1" x14ac:dyDescent="0.2">
      <c r="A177" s="215" t="s">
        <v>1574</v>
      </c>
      <c r="B177" s="216"/>
      <c r="C177" s="216"/>
      <c r="D177" s="216"/>
      <c r="E177" s="166">
        <v>0</v>
      </c>
    </row>
    <row r="178" spans="1:6" ht="14.25" customHeight="1" x14ac:dyDescent="0.2">
      <c r="A178" s="290" t="s">
        <v>1575</v>
      </c>
      <c r="B178" s="291"/>
      <c r="C178" s="291"/>
      <c r="D178" s="292"/>
      <c r="E178" s="63">
        <f>E175</f>
        <v>55</v>
      </c>
    </row>
    <row r="179" spans="1:6" x14ac:dyDescent="0.2">
      <c r="A179" s="34"/>
      <c r="E179" s="36"/>
    </row>
    <row r="180" spans="1:6" s="43" customFormat="1" ht="27.75" hidden="1" customHeight="1" x14ac:dyDescent="0.2">
      <c r="A180" s="45" t="s">
        <v>1270</v>
      </c>
      <c r="B180" s="214" t="s">
        <v>250</v>
      </c>
      <c r="C180" s="214"/>
      <c r="D180" s="214"/>
      <c r="E180" s="214"/>
      <c r="F180" s="43" t="s">
        <v>865</v>
      </c>
    </row>
    <row r="181" spans="1:6" ht="14.25" hidden="1" customHeight="1" x14ac:dyDescent="0.2">
      <c r="A181" s="253" t="s">
        <v>821</v>
      </c>
      <c r="B181" s="254"/>
      <c r="C181" s="49"/>
      <c r="D181" s="49" t="s">
        <v>822</v>
      </c>
      <c r="E181" s="125" t="s">
        <v>908</v>
      </c>
    </row>
    <row r="182" spans="1:6" ht="14.25" hidden="1" customHeight="1" x14ac:dyDescent="0.2">
      <c r="A182" s="255" t="s">
        <v>1271</v>
      </c>
      <c r="B182" s="256"/>
      <c r="C182" s="95"/>
      <c r="D182" s="95">
        <f>6.24*7</f>
        <v>43.68</v>
      </c>
      <c r="E182" s="62">
        <f t="shared" ref="E182:E183" si="12">D182</f>
        <v>43.68</v>
      </c>
    </row>
    <row r="183" spans="1:6" ht="14.25" hidden="1" customHeight="1" x14ac:dyDescent="0.2">
      <c r="A183" s="255" t="s">
        <v>1272</v>
      </c>
      <c r="B183" s="256"/>
      <c r="C183" s="95"/>
      <c r="D183" s="95">
        <f>9.05+11.86</f>
        <v>20.91</v>
      </c>
      <c r="E183" s="62">
        <f t="shared" si="12"/>
        <v>20.91</v>
      </c>
    </row>
    <row r="184" spans="1:6" ht="14.25" hidden="1" customHeight="1" x14ac:dyDescent="0.2">
      <c r="A184" s="128" t="s">
        <v>1273</v>
      </c>
      <c r="B184" s="127"/>
      <c r="C184" s="95"/>
      <c r="D184" s="95">
        <f>82.94+71.88+13.49+3.64+21.06+18.99+57.96</f>
        <v>269.95999999999998</v>
      </c>
      <c r="E184" s="62">
        <f>D184</f>
        <v>269.95999999999998</v>
      </c>
    </row>
    <row r="185" spans="1:6" ht="14.25" hidden="1" customHeight="1" x14ac:dyDescent="0.2">
      <c r="A185" s="128" t="s">
        <v>1274</v>
      </c>
      <c r="B185" s="127"/>
      <c r="C185" s="95"/>
      <c r="D185" s="95">
        <f>4.97*4</f>
        <v>19.88</v>
      </c>
      <c r="E185" s="62">
        <f t="shared" ref="E185:E188" si="13">D185</f>
        <v>19.88</v>
      </c>
    </row>
    <row r="186" spans="1:6" ht="14.25" hidden="1" customHeight="1" x14ac:dyDescent="0.2">
      <c r="A186" s="255" t="s">
        <v>1275</v>
      </c>
      <c r="B186" s="256"/>
      <c r="C186" s="95"/>
      <c r="D186" s="95">
        <f>((2.95*(12*0.175))+23.48)+((2.95*(12*0.175))+20.48)</f>
        <v>56.35</v>
      </c>
      <c r="E186" s="62">
        <f t="shared" si="13"/>
        <v>56.35</v>
      </c>
    </row>
    <row r="187" spans="1:6" ht="14.25" hidden="1" customHeight="1" x14ac:dyDescent="0.2">
      <c r="A187" s="255" t="s">
        <v>1276</v>
      </c>
      <c r="B187" s="256"/>
      <c r="C187" s="95"/>
      <c r="D187" s="95">
        <f>((19*1.25*0.175)+12.3)*2</f>
        <v>32.912500000000001</v>
      </c>
      <c r="E187" s="62">
        <f t="shared" si="13"/>
        <v>32.912500000000001</v>
      </c>
    </row>
    <row r="188" spans="1:6" ht="14.25" hidden="1" customHeight="1" x14ac:dyDescent="0.2">
      <c r="A188" s="255" t="s">
        <v>1277</v>
      </c>
      <c r="B188" s="256"/>
      <c r="C188" s="95"/>
      <c r="D188" s="95">
        <f>11.63+(20*1.43*0.175)</f>
        <v>16.634999999999998</v>
      </c>
      <c r="E188" s="62">
        <f t="shared" si="13"/>
        <v>16.634999999999998</v>
      </c>
    </row>
    <row r="189" spans="1:6" hidden="1" x14ac:dyDescent="0.2">
      <c r="A189" s="293" t="s">
        <v>1278</v>
      </c>
      <c r="B189" s="294"/>
      <c r="C189" s="294"/>
      <c r="D189" s="295"/>
      <c r="E189" s="62">
        <f xml:space="preserve"> SUM(E182:E188)</f>
        <v>460.32749999999999</v>
      </c>
    </row>
    <row r="190" spans="1:6" hidden="1" x14ac:dyDescent="0.2">
      <c r="A190" s="293" t="s">
        <v>1279</v>
      </c>
      <c r="B190" s="294"/>
      <c r="C190" s="294"/>
      <c r="D190" s="295"/>
      <c r="E190" s="62">
        <f>'[3]Planilha Final'!E160</f>
        <v>0</v>
      </c>
    </row>
    <row r="191" spans="1:6" ht="14.25" hidden="1" customHeight="1" x14ac:dyDescent="0.2">
      <c r="A191" s="299" t="s">
        <v>1280</v>
      </c>
      <c r="B191" s="300"/>
      <c r="C191" s="300"/>
      <c r="D191" s="301"/>
      <c r="E191" s="93">
        <f>E190-E189</f>
        <v>-460.32749999999999</v>
      </c>
    </row>
    <row r="192" spans="1:6" hidden="1" x14ac:dyDescent="0.2">
      <c r="A192" s="34"/>
      <c r="E192" s="36"/>
    </row>
    <row r="193" spans="1:6" s="43" customFormat="1" ht="27.75" hidden="1" customHeight="1" x14ac:dyDescent="0.2">
      <c r="A193" s="45" t="s">
        <v>1236</v>
      </c>
      <c r="B193" s="214" t="s">
        <v>252</v>
      </c>
      <c r="C193" s="214"/>
      <c r="D193" s="214"/>
      <c r="E193" s="214"/>
      <c r="F193" s="43" t="s">
        <v>865</v>
      </c>
    </row>
    <row r="194" spans="1:6" ht="14.25" hidden="1" customHeight="1" x14ac:dyDescent="0.2">
      <c r="A194" s="253" t="s">
        <v>821</v>
      </c>
      <c r="B194" s="254"/>
      <c r="C194" s="254" t="s">
        <v>822</v>
      </c>
      <c r="D194" s="254"/>
      <c r="E194" s="125" t="s">
        <v>1281</v>
      </c>
    </row>
    <row r="195" spans="1:6" ht="14.25" hidden="1" customHeight="1" x14ac:dyDescent="0.2">
      <c r="A195" s="255" t="s">
        <v>1282</v>
      </c>
      <c r="B195" s="256"/>
      <c r="C195" s="259">
        <v>13.2</v>
      </c>
      <c r="D195" s="259"/>
      <c r="E195" s="62">
        <f t="shared" ref="E195:E200" si="14">C195</f>
        <v>13.2</v>
      </c>
    </row>
    <row r="196" spans="1:6" ht="14.25" hidden="1" customHeight="1" x14ac:dyDescent="0.2">
      <c r="A196" s="255" t="s">
        <v>897</v>
      </c>
      <c r="B196" s="256"/>
      <c r="C196" s="259">
        <v>81.83</v>
      </c>
      <c r="D196" s="259"/>
      <c r="E196" s="62">
        <f t="shared" si="14"/>
        <v>81.83</v>
      </c>
    </row>
    <row r="197" spans="1:6" ht="14.25" hidden="1" customHeight="1" x14ac:dyDescent="0.2">
      <c r="A197" s="128" t="s">
        <v>1283</v>
      </c>
      <c r="B197" s="127"/>
      <c r="C197" s="259">
        <v>16.62</v>
      </c>
      <c r="D197" s="259"/>
      <c r="E197" s="62">
        <f t="shared" si="14"/>
        <v>16.62</v>
      </c>
    </row>
    <row r="198" spans="1:6" ht="14.25" hidden="1" customHeight="1" x14ac:dyDescent="0.2">
      <c r="A198" s="255" t="s">
        <v>1284</v>
      </c>
      <c r="B198" s="256"/>
      <c r="C198" s="259">
        <v>10.42</v>
      </c>
      <c r="D198" s="259"/>
      <c r="E198" s="62">
        <f t="shared" si="14"/>
        <v>10.42</v>
      </c>
    </row>
    <row r="199" spans="1:6" ht="14.25" hidden="1" customHeight="1" x14ac:dyDescent="0.2">
      <c r="A199" s="255" t="s">
        <v>913</v>
      </c>
      <c r="B199" s="256"/>
      <c r="C199" s="259">
        <v>15.85</v>
      </c>
      <c r="D199" s="259"/>
      <c r="E199" s="62">
        <f t="shared" si="14"/>
        <v>15.85</v>
      </c>
    </row>
    <row r="200" spans="1:6" ht="14.25" hidden="1" customHeight="1" x14ac:dyDescent="0.2">
      <c r="A200" s="255" t="s">
        <v>1285</v>
      </c>
      <c r="B200" s="256"/>
      <c r="C200" s="259">
        <v>16.309999999999999</v>
      </c>
      <c r="D200" s="259"/>
      <c r="E200" s="62">
        <f t="shared" si="14"/>
        <v>16.309999999999999</v>
      </c>
    </row>
    <row r="201" spans="1:6" hidden="1" x14ac:dyDescent="0.2">
      <c r="A201" s="293" t="s">
        <v>1292</v>
      </c>
      <c r="B201" s="294"/>
      <c r="C201" s="294"/>
      <c r="D201" s="295"/>
      <c r="E201" s="62">
        <f xml:space="preserve"> SUM(E195:E200)</f>
        <v>154.23000000000002</v>
      </c>
    </row>
    <row r="202" spans="1:6" hidden="1" x14ac:dyDescent="0.2">
      <c r="A202" s="293" t="s">
        <v>1286</v>
      </c>
      <c r="B202" s="294"/>
      <c r="C202" s="294"/>
      <c r="D202" s="295"/>
      <c r="E202" s="62">
        <v>103.86</v>
      </c>
    </row>
    <row r="203" spans="1:6" hidden="1" x14ac:dyDescent="0.2">
      <c r="A203" s="296" t="s">
        <v>1293</v>
      </c>
      <c r="B203" s="297"/>
      <c r="C203" s="297"/>
      <c r="D203" s="298"/>
      <c r="E203" s="69">
        <v>0</v>
      </c>
    </row>
    <row r="204" spans="1:6" hidden="1" x14ac:dyDescent="0.2">
      <c r="A204" s="290" t="s">
        <v>1294</v>
      </c>
      <c r="B204" s="291"/>
      <c r="C204" s="291"/>
      <c r="D204" s="292"/>
      <c r="E204" s="63">
        <v>51.93</v>
      </c>
    </row>
    <row r="205" spans="1:6" hidden="1" x14ac:dyDescent="0.2">
      <c r="A205" s="34"/>
      <c r="E205" s="36"/>
    </row>
    <row r="206" spans="1:6" s="43" customFormat="1" ht="27" customHeight="1" x14ac:dyDescent="0.2">
      <c r="A206" s="45" t="s">
        <v>1576</v>
      </c>
      <c r="B206" s="214" t="s">
        <v>254</v>
      </c>
      <c r="C206" s="214"/>
      <c r="D206" s="214"/>
      <c r="E206" s="214"/>
    </row>
    <row r="207" spans="1:6" ht="14.25" customHeight="1" x14ac:dyDescent="0.2">
      <c r="A207" s="253" t="s">
        <v>821</v>
      </c>
      <c r="B207" s="254"/>
      <c r="C207" s="49"/>
      <c r="D207" s="49" t="s">
        <v>822</v>
      </c>
      <c r="E207" s="125" t="s">
        <v>908</v>
      </c>
    </row>
    <row r="208" spans="1:6" ht="15" customHeight="1" x14ac:dyDescent="0.2">
      <c r="A208" s="255" t="s">
        <v>1577</v>
      </c>
      <c r="B208" s="256"/>
      <c r="C208" s="95"/>
      <c r="D208" s="95">
        <v>120</v>
      </c>
      <c r="E208" s="62">
        <f>D208</f>
        <v>120</v>
      </c>
    </row>
    <row r="209" spans="1:5" ht="15" customHeight="1" x14ac:dyDescent="0.2">
      <c r="A209" s="128"/>
      <c r="B209" s="127"/>
      <c r="C209" s="95"/>
      <c r="D209" s="95"/>
      <c r="E209" s="62"/>
    </row>
    <row r="210" spans="1:5" ht="13.5" customHeight="1" x14ac:dyDescent="0.2">
      <c r="A210" s="293" t="s">
        <v>1578</v>
      </c>
      <c r="B210" s="294"/>
      <c r="C210" s="294"/>
      <c r="D210" s="295"/>
      <c r="E210" s="62">
        <f xml:space="preserve"> SUM(E208:E208)</f>
        <v>120</v>
      </c>
    </row>
    <row r="211" spans="1:5" ht="14.25" customHeight="1" x14ac:dyDescent="0.2">
      <c r="A211" s="293" t="s">
        <v>1579</v>
      </c>
      <c r="B211" s="294"/>
      <c r="C211" s="294"/>
      <c r="D211" s="295"/>
      <c r="E211" s="62">
        <v>228.77</v>
      </c>
    </row>
    <row r="212" spans="1:5" ht="14.25" customHeight="1" x14ac:dyDescent="0.2">
      <c r="A212" s="215" t="s">
        <v>1580</v>
      </c>
      <c r="B212" s="216"/>
      <c r="C212" s="216"/>
      <c r="D212" s="216"/>
      <c r="E212" s="166">
        <v>0</v>
      </c>
    </row>
    <row r="213" spans="1:5" ht="14.25" customHeight="1" x14ac:dyDescent="0.2">
      <c r="A213" s="290" t="s">
        <v>1581</v>
      </c>
      <c r="B213" s="291"/>
      <c r="C213" s="291"/>
      <c r="D213" s="292"/>
      <c r="E213" s="63">
        <f>E210</f>
        <v>120</v>
      </c>
    </row>
    <row r="214" spans="1:5" x14ac:dyDescent="0.2">
      <c r="A214" s="34"/>
      <c r="E214" s="36"/>
    </row>
    <row r="215" spans="1:5" s="43" customFormat="1" ht="27" customHeight="1" x14ac:dyDescent="0.2">
      <c r="A215" s="45" t="s">
        <v>1582</v>
      </c>
      <c r="B215" s="214" t="s">
        <v>256</v>
      </c>
      <c r="C215" s="214"/>
      <c r="D215" s="214"/>
      <c r="E215" s="214"/>
    </row>
    <row r="216" spans="1:5" ht="14.25" customHeight="1" x14ac:dyDescent="0.2">
      <c r="A216" s="253" t="s">
        <v>821</v>
      </c>
      <c r="B216" s="254"/>
      <c r="C216" s="49"/>
      <c r="D216" s="49" t="s">
        <v>1139</v>
      </c>
      <c r="E216" s="125" t="s">
        <v>1317</v>
      </c>
    </row>
    <row r="217" spans="1:5" ht="15" customHeight="1" x14ac:dyDescent="0.2">
      <c r="A217" s="255" t="s">
        <v>1056</v>
      </c>
      <c r="B217" s="256"/>
      <c r="C217" s="95"/>
      <c r="D217" s="95">
        <v>124.98</v>
      </c>
      <c r="E217" s="62">
        <f>D217</f>
        <v>124.98</v>
      </c>
    </row>
    <row r="218" spans="1:5" ht="15" customHeight="1" x14ac:dyDescent="0.2">
      <c r="A218" s="128"/>
      <c r="B218" s="127"/>
      <c r="C218" s="95"/>
      <c r="D218" s="95"/>
      <c r="E218" s="62"/>
    </row>
    <row r="219" spans="1:5" ht="13.5" customHeight="1" x14ac:dyDescent="0.2">
      <c r="A219" s="293" t="s">
        <v>1583</v>
      </c>
      <c r="B219" s="294"/>
      <c r="C219" s="294"/>
      <c r="D219" s="295"/>
      <c r="E219" s="62">
        <f xml:space="preserve"> SUM(E217:E217)</f>
        <v>124.98</v>
      </c>
    </row>
    <row r="220" spans="1:5" ht="14.25" customHeight="1" x14ac:dyDescent="0.2">
      <c r="A220" s="293" t="s">
        <v>1588</v>
      </c>
      <c r="B220" s="294"/>
      <c r="C220" s="294"/>
      <c r="D220" s="295"/>
      <c r="E220" s="62">
        <v>156.22999999999999</v>
      </c>
    </row>
    <row r="221" spans="1:5" ht="14.25" customHeight="1" x14ac:dyDescent="0.2">
      <c r="A221" s="215" t="s">
        <v>1589</v>
      </c>
      <c r="B221" s="216"/>
      <c r="C221" s="216"/>
      <c r="D221" s="216"/>
      <c r="E221" s="166">
        <v>0</v>
      </c>
    </row>
    <row r="222" spans="1:5" ht="14.25" customHeight="1" x14ac:dyDescent="0.2">
      <c r="A222" s="290" t="s">
        <v>1590</v>
      </c>
      <c r="B222" s="291"/>
      <c r="C222" s="291"/>
      <c r="D222" s="292"/>
      <c r="E222" s="63">
        <f>E219</f>
        <v>124.98</v>
      </c>
    </row>
    <row r="223" spans="1:5" x14ac:dyDescent="0.2">
      <c r="A223" s="34"/>
      <c r="E223" s="36"/>
    </row>
    <row r="224" spans="1:5" s="43" customFormat="1" ht="27" customHeight="1" x14ac:dyDescent="0.2">
      <c r="A224" s="45" t="s">
        <v>1584</v>
      </c>
      <c r="B224" s="214" t="s">
        <v>258</v>
      </c>
      <c r="C224" s="214"/>
      <c r="D224" s="214"/>
      <c r="E224" s="214"/>
    </row>
    <row r="225" spans="1:5" ht="14.25" customHeight="1" x14ac:dyDescent="0.2">
      <c r="A225" s="253" t="s">
        <v>821</v>
      </c>
      <c r="B225" s="254"/>
      <c r="C225" s="49"/>
      <c r="D225" s="49" t="s">
        <v>822</v>
      </c>
      <c r="E225" s="125" t="s">
        <v>908</v>
      </c>
    </row>
    <row r="226" spans="1:5" ht="15" customHeight="1" x14ac:dyDescent="0.2">
      <c r="A226" s="255" t="s">
        <v>1056</v>
      </c>
      <c r="B226" s="256"/>
      <c r="C226" s="95"/>
      <c r="D226" s="95">
        <v>1041.53</v>
      </c>
      <c r="E226" s="62">
        <f>D226</f>
        <v>1041.53</v>
      </c>
    </row>
    <row r="227" spans="1:5" ht="15" customHeight="1" x14ac:dyDescent="0.2">
      <c r="A227" s="128"/>
      <c r="B227" s="127"/>
      <c r="C227" s="95"/>
      <c r="D227" s="95"/>
      <c r="E227" s="62"/>
    </row>
    <row r="228" spans="1:5" ht="13.5" customHeight="1" x14ac:dyDescent="0.2">
      <c r="A228" s="293" t="s">
        <v>1591</v>
      </c>
      <c r="B228" s="294"/>
      <c r="C228" s="294"/>
      <c r="D228" s="295"/>
      <c r="E228" s="62">
        <f xml:space="preserve"> SUM(E226:E226)</f>
        <v>1041.53</v>
      </c>
    </row>
    <row r="229" spans="1:5" ht="14.25" customHeight="1" x14ac:dyDescent="0.2">
      <c r="A229" s="293" t="s">
        <v>1585</v>
      </c>
      <c r="B229" s="294"/>
      <c r="C229" s="294"/>
      <c r="D229" s="295"/>
      <c r="E229" s="62">
        <v>1301.92</v>
      </c>
    </row>
    <row r="230" spans="1:5" ht="14.25" customHeight="1" x14ac:dyDescent="0.2">
      <c r="A230" s="215" t="s">
        <v>1586</v>
      </c>
      <c r="B230" s="216"/>
      <c r="C230" s="216"/>
      <c r="D230" s="216"/>
      <c r="E230" s="166">
        <v>0</v>
      </c>
    </row>
    <row r="231" spans="1:5" ht="14.25" customHeight="1" x14ac:dyDescent="0.2">
      <c r="A231" s="290" t="s">
        <v>1587</v>
      </c>
      <c r="B231" s="291"/>
      <c r="C231" s="291"/>
      <c r="D231" s="292"/>
      <c r="E231" s="63">
        <f>E228</f>
        <v>1041.53</v>
      </c>
    </row>
    <row r="232" spans="1:5" x14ac:dyDescent="0.2">
      <c r="A232" s="34"/>
      <c r="E232" s="36"/>
    </row>
  </sheetData>
  <mergeCells count="111">
    <mergeCell ref="A23:B23"/>
    <mergeCell ref="A56:A70"/>
    <mergeCell ref="A41:D41"/>
    <mergeCell ref="A42:D42"/>
    <mergeCell ref="A43:D43"/>
    <mergeCell ref="A44:D44"/>
    <mergeCell ref="A45:D45"/>
    <mergeCell ref="B54:E54"/>
    <mergeCell ref="A55:B55"/>
    <mergeCell ref="B46:E46"/>
    <mergeCell ref="A47:B47"/>
    <mergeCell ref="C47:D47"/>
    <mergeCell ref="A48:B48"/>
    <mergeCell ref="C48:D48"/>
    <mergeCell ref="A37:B37"/>
    <mergeCell ref="A38:B38"/>
    <mergeCell ref="A39:B39"/>
    <mergeCell ref="A40:B40"/>
    <mergeCell ref="A24:B24"/>
    <mergeCell ref="A25:B25"/>
    <mergeCell ref="A27:B27"/>
    <mergeCell ref="A28:B28"/>
    <mergeCell ref="A29:B29"/>
    <mergeCell ref="A31:B31"/>
    <mergeCell ref="A20:D20"/>
    <mergeCell ref="A21:D21"/>
    <mergeCell ref="A10:E10"/>
    <mergeCell ref="B12:E12"/>
    <mergeCell ref="B22:E22"/>
    <mergeCell ref="B13:E13"/>
    <mergeCell ref="A16:B16"/>
    <mergeCell ref="A17:D17"/>
    <mergeCell ref="A18:D18"/>
    <mergeCell ref="A19:D19"/>
    <mergeCell ref="A167:D167"/>
    <mergeCell ref="A168:D168"/>
    <mergeCell ref="A169:D169"/>
    <mergeCell ref="B171:E171"/>
    <mergeCell ref="A49:D49"/>
    <mergeCell ref="A50:D50"/>
    <mergeCell ref="A52:D52"/>
    <mergeCell ref="A53:B53"/>
    <mergeCell ref="A51:D51"/>
    <mergeCell ref="A170:B170"/>
    <mergeCell ref="A152:A163"/>
    <mergeCell ref="A71:A79"/>
    <mergeCell ref="A80:A90"/>
    <mergeCell ref="A105:A115"/>
    <mergeCell ref="A116:A127"/>
    <mergeCell ref="A128:A139"/>
    <mergeCell ref="A140:A151"/>
    <mergeCell ref="A166:D166"/>
    <mergeCell ref="A91:A104"/>
    <mergeCell ref="A200:B200"/>
    <mergeCell ref="C200:D200"/>
    <mergeCell ref="A201:D201"/>
    <mergeCell ref="A196:B196"/>
    <mergeCell ref="C196:D196"/>
    <mergeCell ref="C197:D197"/>
    <mergeCell ref="A198:B198"/>
    <mergeCell ref="C198:D198"/>
    <mergeCell ref="A172:B172"/>
    <mergeCell ref="A173:B173"/>
    <mergeCell ref="A175:D175"/>
    <mergeCell ref="A176:D176"/>
    <mergeCell ref="A194:B194"/>
    <mergeCell ref="C194:D194"/>
    <mergeCell ref="A195:B195"/>
    <mergeCell ref="C195:D195"/>
    <mergeCell ref="A186:B186"/>
    <mergeCell ref="A187:B187"/>
    <mergeCell ref="A188:B188"/>
    <mergeCell ref="A189:D189"/>
    <mergeCell ref="A199:B199"/>
    <mergeCell ref="C199:D199"/>
    <mergeCell ref="A33:B33"/>
    <mergeCell ref="A34:B34"/>
    <mergeCell ref="A35:B35"/>
    <mergeCell ref="A211:D211"/>
    <mergeCell ref="A212:D212"/>
    <mergeCell ref="A213:D213"/>
    <mergeCell ref="B215:E215"/>
    <mergeCell ref="A216:B216"/>
    <mergeCell ref="A177:D177"/>
    <mergeCell ref="B206:E206"/>
    <mergeCell ref="A207:B207"/>
    <mergeCell ref="A208:B208"/>
    <mergeCell ref="A210:D210"/>
    <mergeCell ref="A203:D203"/>
    <mergeCell ref="A202:D202"/>
    <mergeCell ref="A204:D204"/>
    <mergeCell ref="A190:D190"/>
    <mergeCell ref="A178:D178"/>
    <mergeCell ref="B180:E180"/>
    <mergeCell ref="A181:B181"/>
    <mergeCell ref="A182:B182"/>
    <mergeCell ref="A183:B183"/>
    <mergeCell ref="A191:D191"/>
    <mergeCell ref="B193:E193"/>
    <mergeCell ref="A230:D230"/>
    <mergeCell ref="A231:D231"/>
    <mergeCell ref="B224:E224"/>
    <mergeCell ref="A225:B225"/>
    <mergeCell ref="A226:B226"/>
    <mergeCell ref="A228:D228"/>
    <mergeCell ref="A229:D229"/>
    <mergeCell ref="A217:B217"/>
    <mergeCell ref="A219:D219"/>
    <mergeCell ref="A220:D220"/>
    <mergeCell ref="A221:D221"/>
    <mergeCell ref="A222:D222"/>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A60D4-F256-4DAA-AA46-0F4CB0C984BA}">
  <sheetPr>
    <tabColor theme="4"/>
  </sheetPr>
  <dimension ref="A1:F21"/>
  <sheetViews>
    <sheetView view="pageBreakPreview" topLeftCell="A4" zoomScale="90" zoomScaleNormal="95" zoomScaleSheetLayoutView="90" workbookViewId="0">
      <selection activeCell="G14" sqref="G14"/>
    </sheetView>
  </sheetViews>
  <sheetFormatPr defaultColWidth="9" defaultRowHeight="12.75" x14ac:dyDescent="0.2"/>
  <cols>
    <col min="1" max="1" width="19.5" style="35" customWidth="1"/>
    <col min="2" max="2" width="14" style="35" customWidth="1"/>
    <col min="3" max="3" width="19" style="35"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ht="22.5" customHeight="1"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1313</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248" t="s">
        <v>1314</v>
      </c>
      <c r="B11" s="249"/>
      <c r="C11" s="249"/>
      <c r="D11" s="249"/>
      <c r="E11" s="250"/>
    </row>
    <row r="12" spans="1:6" x14ac:dyDescent="0.2">
      <c r="A12" s="34"/>
      <c r="E12" s="36"/>
    </row>
    <row r="13" spans="1:6" ht="17.25" customHeight="1" x14ac:dyDescent="0.2">
      <c r="A13" s="44" t="s">
        <v>1107</v>
      </c>
      <c r="B13" s="221" t="s">
        <v>267</v>
      </c>
      <c r="C13" s="221"/>
      <c r="D13" s="221"/>
      <c r="E13" s="221"/>
    </row>
    <row r="14" spans="1:6" s="43" customFormat="1" ht="42" customHeight="1" x14ac:dyDescent="0.2">
      <c r="A14" s="45" t="s">
        <v>1107</v>
      </c>
      <c r="B14" s="214" t="s">
        <v>269</v>
      </c>
      <c r="C14" s="214"/>
      <c r="D14" s="214"/>
      <c r="E14" s="214"/>
      <c r="F14" s="71"/>
    </row>
    <row r="15" spans="1:6" s="53" customFormat="1" ht="16.5" customHeight="1" x14ac:dyDescent="0.2">
      <c r="A15" s="281"/>
      <c r="B15" s="282"/>
      <c r="C15" s="78"/>
      <c r="D15" s="84"/>
      <c r="E15" s="114" t="s">
        <v>908</v>
      </c>
    </row>
    <row r="16" spans="1:6" s="53" customFormat="1" ht="31.5" customHeight="1" x14ac:dyDescent="0.2">
      <c r="A16" s="210" t="s">
        <v>1592</v>
      </c>
      <c r="B16" s="211"/>
      <c r="C16" s="211"/>
      <c r="D16" s="211"/>
      <c r="E16" s="73">
        <v>2750.09</v>
      </c>
    </row>
    <row r="17" spans="1:5" s="53" customFormat="1" ht="16.5" customHeight="1" x14ac:dyDescent="0.2">
      <c r="A17" s="117"/>
      <c r="B17" s="118"/>
      <c r="C17" s="118"/>
      <c r="D17" s="118"/>
      <c r="E17" s="73"/>
    </row>
    <row r="18" spans="1:5" s="53" customFormat="1" ht="16.5" customHeight="1" x14ac:dyDescent="0.2">
      <c r="A18" s="210" t="s">
        <v>1699</v>
      </c>
      <c r="B18" s="211"/>
      <c r="C18" s="211"/>
      <c r="D18" s="211"/>
      <c r="E18" s="73">
        <v>3437.62</v>
      </c>
    </row>
    <row r="19" spans="1:5" s="43" customFormat="1" ht="14.25" customHeight="1" x14ac:dyDescent="0.2">
      <c r="A19" s="210" t="s">
        <v>1700</v>
      </c>
      <c r="B19" s="211"/>
      <c r="C19" s="211"/>
      <c r="D19" s="211"/>
      <c r="E19" s="50">
        <v>1718.81</v>
      </c>
    </row>
    <row r="20" spans="1:5" s="43" customFormat="1" ht="16.5" customHeight="1" x14ac:dyDescent="0.2">
      <c r="A20" s="212" t="s">
        <v>1701</v>
      </c>
      <c r="B20" s="213"/>
      <c r="C20" s="213"/>
      <c r="D20" s="213"/>
      <c r="E20" s="72">
        <f>E16-E19</f>
        <v>1031.2800000000002</v>
      </c>
    </row>
    <row r="21" spans="1:5" ht="14.25" customHeight="1" x14ac:dyDescent="0.2">
      <c r="A21" s="228"/>
      <c r="B21" s="229"/>
      <c r="C21" s="82"/>
      <c r="D21" s="82"/>
      <c r="E21" s="83"/>
    </row>
  </sheetData>
  <mergeCells count="9">
    <mergeCell ref="A19:D19"/>
    <mergeCell ref="A20:D20"/>
    <mergeCell ref="A21:B21"/>
    <mergeCell ref="A11:E11"/>
    <mergeCell ref="B13:E13"/>
    <mergeCell ref="B14:E14"/>
    <mergeCell ref="A15:B15"/>
    <mergeCell ref="A16:D16"/>
    <mergeCell ref="A18:D18"/>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21378-C09D-410C-9358-97A8729F5D0D}">
  <sheetPr>
    <tabColor theme="4"/>
  </sheetPr>
  <dimension ref="A1:F21"/>
  <sheetViews>
    <sheetView view="pageBreakPreview" topLeftCell="A2" zoomScale="90" zoomScaleNormal="95" zoomScaleSheetLayoutView="90" workbookViewId="0">
      <selection activeCell="J15" sqref="J15"/>
    </sheetView>
  </sheetViews>
  <sheetFormatPr defaultColWidth="9" defaultRowHeight="12.75" x14ac:dyDescent="0.2"/>
  <cols>
    <col min="1" max="1" width="19.5" style="35" customWidth="1"/>
    <col min="2" max="2" width="14" style="35" customWidth="1"/>
    <col min="3" max="3" width="19" style="35"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ht="18" customHeight="1"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1313</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248" t="s">
        <v>1314</v>
      </c>
      <c r="B11" s="249"/>
      <c r="C11" s="249"/>
      <c r="D11" s="249"/>
      <c r="E11" s="250"/>
    </row>
    <row r="12" spans="1:6" x14ac:dyDescent="0.2">
      <c r="A12" s="34"/>
      <c r="E12" s="36"/>
    </row>
    <row r="13" spans="1:6" ht="17.25" customHeight="1" x14ac:dyDescent="0.2">
      <c r="A13" s="44" t="s">
        <v>1110</v>
      </c>
      <c r="B13" s="221" t="s">
        <v>292</v>
      </c>
      <c r="C13" s="221"/>
      <c r="D13" s="221"/>
      <c r="E13" s="221"/>
    </row>
    <row r="14" spans="1:6" s="43" customFormat="1" ht="42" customHeight="1" x14ac:dyDescent="0.2">
      <c r="A14" s="45" t="s">
        <v>1111</v>
      </c>
      <c r="B14" s="214" t="s">
        <v>294</v>
      </c>
      <c r="C14" s="214"/>
      <c r="D14" s="214"/>
      <c r="E14" s="214"/>
      <c r="F14" s="71"/>
    </row>
    <row r="15" spans="1:6" s="53" customFormat="1" ht="16.5" customHeight="1" x14ac:dyDescent="0.2">
      <c r="A15" s="281"/>
      <c r="B15" s="282"/>
      <c r="C15" s="78"/>
      <c r="D15" s="84"/>
      <c r="E15" s="114" t="s">
        <v>1091</v>
      </c>
    </row>
    <row r="16" spans="1:6" s="53" customFormat="1" ht="31.5" customHeight="1" x14ac:dyDescent="0.2">
      <c r="A16" s="210" t="s">
        <v>1592</v>
      </c>
      <c r="B16" s="211"/>
      <c r="C16" s="211"/>
      <c r="D16" s="211"/>
      <c r="E16" s="73">
        <v>731.26</v>
      </c>
    </row>
    <row r="17" spans="1:5" s="53" customFormat="1" ht="16.5" customHeight="1" x14ac:dyDescent="0.2">
      <c r="A17" s="117"/>
      <c r="B17" s="118"/>
      <c r="C17" s="118"/>
      <c r="D17" s="118"/>
      <c r="E17" s="73"/>
    </row>
    <row r="18" spans="1:5" s="53" customFormat="1" ht="16.5" customHeight="1" x14ac:dyDescent="0.2">
      <c r="A18" s="210" t="s">
        <v>1112</v>
      </c>
      <c r="B18" s="211"/>
      <c r="C18" s="211"/>
      <c r="D18" s="211"/>
      <c r="E18" s="73">
        <f>[2]Planilha!D162</f>
        <v>1151.44</v>
      </c>
    </row>
    <row r="19" spans="1:5" s="43" customFormat="1" ht="14.25" customHeight="1" x14ac:dyDescent="0.2">
      <c r="A19" s="210" t="s">
        <v>1593</v>
      </c>
      <c r="B19" s="211"/>
      <c r="C19" s="211"/>
      <c r="D19" s="211"/>
      <c r="E19" s="50">
        <v>575.72</v>
      </c>
    </row>
    <row r="20" spans="1:5" s="43" customFormat="1" ht="16.5" customHeight="1" x14ac:dyDescent="0.2">
      <c r="A20" s="212" t="s">
        <v>1594</v>
      </c>
      <c r="B20" s="213"/>
      <c r="C20" s="213"/>
      <c r="D20" s="213"/>
      <c r="E20" s="72">
        <f>E16-E19</f>
        <v>155.53999999999996</v>
      </c>
    </row>
    <row r="21" spans="1:5" ht="14.25" customHeight="1" x14ac:dyDescent="0.2">
      <c r="A21" s="228"/>
      <c r="B21" s="229"/>
      <c r="C21" s="82"/>
      <c r="D21" s="82"/>
      <c r="E21" s="83"/>
    </row>
  </sheetData>
  <mergeCells count="9">
    <mergeCell ref="A19:D19"/>
    <mergeCell ref="A20:D20"/>
    <mergeCell ref="A21:B21"/>
    <mergeCell ref="A11:E11"/>
    <mergeCell ref="B13:E13"/>
    <mergeCell ref="B14:E14"/>
    <mergeCell ref="A15:B15"/>
    <mergeCell ref="A16:D16"/>
    <mergeCell ref="A18:D18"/>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3EB49-48E4-4E06-AEC5-9A95FF951614}">
  <sheetPr>
    <tabColor theme="4"/>
  </sheetPr>
  <dimension ref="A1:F40"/>
  <sheetViews>
    <sheetView view="pageBreakPreview" topLeftCell="A10" zoomScale="90" zoomScaleNormal="95" zoomScaleSheetLayoutView="90" workbookViewId="0">
      <selection activeCell="I32" sqref="I32"/>
    </sheetView>
  </sheetViews>
  <sheetFormatPr defaultColWidth="9" defaultRowHeight="12.75" x14ac:dyDescent="0.2"/>
  <cols>
    <col min="1" max="1" width="19.5" style="35" customWidth="1"/>
    <col min="2" max="2" width="14" style="35" customWidth="1"/>
    <col min="3" max="3" width="19" style="35"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ht="18" customHeight="1"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1313</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248" t="s">
        <v>1314</v>
      </c>
      <c r="B11" s="249"/>
      <c r="C11" s="249"/>
      <c r="D11" s="249"/>
      <c r="E11" s="250"/>
    </row>
    <row r="12" spans="1:6" x14ac:dyDescent="0.2">
      <c r="A12" s="34"/>
      <c r="E12" s="36"/>
    </row>
    <row r="13" spans="1:6" ht="17.25" customHeight="1" x14ac:dyDescent="0.2">
      <c r="A13" s="44" t="s">
        <v>1241</v>
      </c>
      <c r="B13" s="221" t="s">
        <v>296</v>
      </c>
      <c r="C13" s="221"/>
      <c r="D13" s="221"/>
      <c r="E13" s="221"/>
    </row>
    <row r="14" spans="1:6" s="43" customFormat="1" ht="43.5" customHeight="1" x14ac:dyDescent="0.2">
      <c r="A14" s="45" t="s">
        <v>1497</v>
      </c>
      <c r="B14" s="214" t="s">
        <v>298</v>
      </c>
      <c r="C14" s="214"/>
      <c r="D14" s="214"/>
      <c r="E14" s="214"/>
      <c r="F14" s="71"/>
    </row>
    <row r="15" spans="1:6" s="53" customFormat="1" ht="16.5" customHeight="1" x14ac:dyDescent="0.2">
      <c r="A15" s="281" t="s">
        <v>821</v>
      </c>
      <c r="B15" s="282"/>
      <c r="C15" s="78" t="s">
        <v>883</v>
      </c>
      <c r="D15" s="84"/>
      <c r="E15" s="114" t="s">
        <v>1295</v>
      </c>
    </row>
    <row r="16" spans="1:6" s="53" customFormat="1" ht="17.25" customHeight="1" x14ac:dyDescent="0.2">
      <c r="A16" s="147" t="s">
        <v>1261</v>
      </c>
      <c r="B16" s="163"/>
      <c r="C16" s="164">
        <v>5</v>
      </c>
      <c r="D16" s="163"/>
      <c r="E16" s="73">
        <f>C16</f>
        <v>5</v>
      </c>
    </row>
    <row r="17" spans="1:6" s="53" customFormat="1" ht="15.75" customHeight="1" x14ac:dyDescent="0.2">
      <c r="A17" s="147" t="s">
        <v>1163</v>
      </c>
      <c r="B17" s="163"/>
      <c r="C17" s="164">
        <v>9</v>
      </c>
      <c r="D17" s="163"/>
      <c r="E17" s="73">
        <f t="shared" ref="E17:E21" si="0">C17</f>
        <v>9</v>
      </c>
    </row>
    <row r="18" spans="1:6" s="53" customFormat="1" ht="15" customHeight="1" x14ac:dyDescent="0.2">
      <c r="A18" s="147" t="s">
        <v>1022</v>
      </c>
      <c r="B18" s="163"/>
      <c r="C18" s="164">
        <v>8</v>
      </c>
      <c r="D18" s="163"/>
      <c r="E18" s="73">
        <f t="shared" si="0"/>
        <v>8</v>
      </c>
    </row>
    <row r="19" spans="1:6" s="53" customFormat="1" ht="16.5" customHeight="1" x14ac:dyDescent="0.2">
      <c r="A19" s="147" t="s">
        <v>1079</v>
      </c>
      <c r="B19" s="163"/>
      <c r="C19" s="164">
        <v>8</v>
      </c>
      <c r="D19" s="163"/>
      <c r="E19" s="73">
        <f t="shared" si="0"/>
        <v>8</v>
      </c>
    </row>
    <row r="20" spans="1:6" s="53" customFormat="1" ht="15.75" customHeight="1" x14ac:dyDescent="0.2">
      <c r="A20" s="147" t="s">
        <v>1080</v>
      </c>
      <c r="B20" s="163"/>
      <c r="C20" s="164">
        <v>8</v>
      </c>
      <c r="D20" s="163"/>
      <c r="E20" s="73">
        <f t="shared" si="0"/>
        <v>8</v>
      </c>
    </row>
    <row r="21" spans="1:6" s="53" customFormat="1" ht="15" customHeight="1" x14ac:dyDescent="0.2">
      <c r="A21" s="147" t="s">
        <v>1302</v>
      </c>
      <c r="B21" s="118"/>
      <c r="C21" s="164">
        <v>8</v>
      </c>
      <c r="D21" s="118"/>
      <c r="E21" s="73">
        <f t="shared" si="0"/>
        <v>8</v>
      </c>
    </row>
    <row r="22" spans="1:6" s="53" customFormat="1" ht="16.5" customHeight="1" x14ac:dyDescent="0.2">
      <c r="A22" s="147"/>
      <c r="B22" s="118"/>
      <c r="C22" s="164"/>
      <c r="D22" s="118"/>
      <c r="E22" s="73"/>
    </row>
    <row r="23" spans="1:6" s="53" customFormat="1" ht="16.5" customHeight="1" x14ac:dyDescent="0.2">
      <c r="A23" s="210" t="s">
        <v>1498</v>
      </c>
      <c r="B23" s="211"/>
      <c r="C23" s="211"/>
      <c r="D23" s="211"/>
      <c r="E23" s="73">
        <f>SUM(E16:E21)</f>
        <v>46</v>
      </c>
    </row>
    <row r="24" spans="1:6" s="53" customFormat="1" ht="16.5" customHeight="1" x14ac:dyDescent="0.2">
      <c r="A24" s="210" t="s">
        <v>1499</v>
      </c>
      <c r="B24" s="211"/>
      <c r="C24" s="211"/>
      <c r="D24" s="211"/>
      <c r="E24" s="73">
        <v>61</v>
      </c>
    </row>
    <row r="25" spans="1:6" s="43" customFormat="1" ht="14.25" customHeight="1" x14ac:dyDescent="0.2">
      <c r="A25" s="210" t="s">
        <v>1500</v>
      </c>
      <c r="B25" s="211"/>
      <c r="C25" s="211"/>
      <c r="D25" s="211"/>
      <c r="E25" s="50">
        <v>0</v>
      </c>
    </row>
    <row r="26" spans="1:6" s="43" customFormat="1" ht="16.5" customHeight="1" x14ac:dyDescent="0.2">
      <c r="A26" s="212" t="s">
        <v>1501</v>
      </c>
      <c r="B26" s="213"/>
      <c r="C26" s="213"/>
      <c r="D26" s="213"/>
      <c r="E26" s="72">
        <f>E23</f>
        <v>46</v>
      </c>
    </row>
    <row r="27" spans="1:6" ht="14.25" customHeight="1" x14ac:dyDescent="0.2">
      <c r="A27" s="228"/>
      <c r="B27" s="229"/>
      <c r="C27" s="82"/>
      <c r="D27" s="82"/>
      <c r="E27" s="83"/>
    </row>
    <row r="28" spans="1:6" s="43" customFormat="1" ht="43.5" customHeight="1" x14ac:dyDescent="0.2">
      <c r="A28" s="45" t="s">
        <v>1502</v>
      </c>
      <c r="B28" s="214" t="s">
        <v>300</v>
      </c>
      <c r="C28" s="214"/>
      <c r="D28" s="214"/>
      <c r="E28" s="214"/>
      <c r="F28" s="71"/>
    </row>
    <row r="29" spans="1:6" s="53" customFormat="1" ht="16.5" customHeight="1" x14ac:dyDescent="0.2">
      <c r="A29" s="281" t="s">
        <v>821</v>
      </c>
      <c r="B29" s="282"/>
      <c r="C29" s="78" t="s">
        <v>883</v>
      </c>
      <c r="D29" s="84"/>
      <c r="E29" s="114" t="s">
        <v>1295</v>
      </c>
    </row>
    <row r="30" spans="1:6" s="53" customFormat="1" ht="15.75" customHeight="1" x14ac:dyDescent="0.2">
      <c r="A30" s="147" t="s">
        <v>1163</v>
      </c>
      <c r="B30" s="163"/>
      <c r="C30" s="164">
        <v>4</v>
      </c>
      <c r="D30" s="163"/>
      <c r="E30" s="73">
        <f t="shared" ref="E30:E34" si="1">C30</f>
        <v>4</v>
      </c>
    </row>
    <row r="31" spans="1:6" s="53" customFormat="1" ht="15" customHeight="1" x14ac:dyDescent="0.2">
      <c r="A31" s="147" t="s">
        <v>1022</v>
      </c>
      <c r="B31" s="163"/>
      <c r="C31" s="164">
        <v>3</v>
      </c>
      <c r="D31" s="163"/>
      <c r="E31" s="73">
        <f t="shared" si="1"/>
        <v>3</v>
      </c>
    </row>
    <row r="32" spans="1:6" s="53" customFormat="1" ht="16.5" customHeight="1" x14ac:dyDescent="0.2">
      <c r="A32" s="147" t="s">
        <v>1079</v>
      </c>
      <c r="B32" s="163"/>
      <c r="C32" s="164">
        <v>3</v>
      </c>
      <c r="D32" s="163"/>
      <c r="E32" s="73">
        <f t="shared" si="1"/>
        <v>3</v>
      </c>
    </row>
    <row r="33" spans="1:5" s="53" customFormat="1" ht="15.75" customHeight="1" x14ac:dyDescent="0.2">
      <c r="A33" s="147" t="s">
        <v>1080</v>
      </c>
      <c r="B33" s="163"/>
      <c r="C33" s="164">
        <v>3</v>
      </c>
      <c r="D33" s="163"/>
      <c r="E33" s="73">
        <f t="shared" si="1"/>
        <v>3</v>
      </c>
    </row>
    <row r="34" spans="1:5" s="53" customFormat="1" ht="15" customHeight="1" x14ac:dyDescent="0.2">
      <c r="A34" s="147" t="s">
        <v>1302</v>
      </c>
      <c r="B34" s="118"/>
      <c r="C34" s="164">
        <v>3</v>
      </c>
      <c r="D34" s="118"/>
      <c r="E34" s="73">
        <f t="shared" si="1"/>
        <v>3</v>
      </c>
    </row>
    <row r="35" spans="1:5" s="53" customFormat="1" ht="16.5" customHeight="1" x14ac:dyDescent="0.2">
      <c r="A35" s="147"/>
      <c r="B35" s="118"/>
      <c r="C35" s="164"/>
      <c r="D35" s="118"/>
      <c r="E35" s="73"/>
    </row>
    <row r="36" spans="1:5" s="53" customFormat="1" ht="16.5" customHeight="1" x14ac:dyDescent="0.2">
      <c r="A36" s="210" t="s">
        <v>1498</v>
      </c>
      <c r="B36" s="211"/>
      <c r="C36" s="211"/>
      <c r="D36" s="211"/>
      <c r="E36" s="73">
        <f>SUM(E30:E34)</f>
        <v>16</v>
      </c>
    </row>
    <row r="37" spans="1:5" s="53" customFormat="1" ht="16.5" customHeight="1" x14ac:dyDescent="0.2">
      <c r="A37" s="210" t="s">
        <v>1499</v>
      </c>
      <c r="B37" s="211"/>
      <c r="C37" s="211"/>
      <c r="D37" s="211"/>
      <c r="E37" s="73">
        <v>16</v>
      </c>
    </row>
    <row r="38" spans="1:5" s="43" customFormat="1" ht="14.25" customHeight="1" x14ac:dyDescent="0.2">
      <c r="A38" s="210" t="s">
        <v>1500</v>
      </c>
      <c r="B38" s="211"/>
      <c r="C38" s="211"/>
      <c r="D38" s="211"/>
      <c r="E38" s="50">
        <v>0</v>
      </c>
    </row>
    <row r="39" spans="1:5" s="43" customFormat="1" ht="16.5" customHeight="1" x14ac:dyDescent="0.2">
      <c r="A39" s="212" t="s">
        <v>1501</v>
      </c>
      <c r="B39" s="213"/>
      <c r="C39" s="213"/>
      <c r="D39" s="213"/>
      <c r="E39" s="72">
        <f>E36</f>
        <v>16</v>
      </c>
    </row>
    <row r="40" spans="1:5" ht="14.25" customHeight="1" x14ac:dyDescent="0.2">
      <c r="A40" s="228"/>
      <c r="B40" s="229"/>
      <c r="C40" s="82"/>
      <c r="D40" s="82"/>
      <c r="E40" s="83"/>
    </row>
  </sheetData>
  <mergeCells count="16">
    <mergeCell ref="A39:D39"/>
    <mergeCell ref="A40:B40"/>
    <mergeCell ref="B28:E28"/>
    <mergeCell ref="A29:B29"/>
    <mergeCell ref="A36:D36"/>
    <mergeCell ref="A37:D37"/>
    <mergeCell ref="A38:D38"/>
    <mergeCell ref="A25:D25"/>
    <mergeCell ref="A26:D26"/>
    <mergeCell ref="A27:B27"/>
    <mergeCell ref="A23:D23"/>
    <mergeCell ref="A11:E11"/>
    <mergeCell ref="B13:E13"/>
    <mergeCell ref="B14:E14"/>
    <mergeCell ref="A15:B15"/>
    <mergeCell ref="A24:D24"/>
  </mergeCells>
  <phoneticPr fontId="18" type="noConversion"/>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53F69-A3BC-4AC2-9498-DF86968DB1CD}">
  <sheetPr>
    <tabColor theme="4"/>
  </sheetPr>
  <dimension ref="A1:F47"/>
  <sheetViews>
    <sheetView view="pageBreakPreview" topLeftCell="A31" zoomScale="90" zoomScaleNormal="95" zoomScaleSheetLayoutView="90" workbookViewId="0">
      <selection activeCell="E25" sqref="E25"/>
    </sheetView>
  </sheetViews>
  <sheetFormatPr defaultColWidth="9" defaultRowHeight="12.75" x14ac:dyDescent="0.2"/>
  <cols>
    <col min="1" max="1" width="19.5" style="35" customWidth="1"/>
    <col min="2" max="2" width="15.625" style="35" customWidth="1"/>
    <col min="3" max="3" width="19" style="35" customWidth="1"/>
    <col min="4" max="4" width="17.25" style="35" customWidth="1"/>
    <col min="5" max="5" width="15" style="42" customWidth="1"/>
    <col min="6" max="6" width="0" style="33" hidden="1" customWidth="1"/>
    <col min="7"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1313</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248" t="s">
        <v>1314</v>
      </c>
      <c r="B11" s="249"/>
      <c r="C11" s="249"/>
      <c r="D11" s="249"/>
      <c r="E11" s="250"/>
    </row>
    <row r="12" spans="1:6" x14ac:dyDescent="0.2">
      <c r="A12" s="34"/>
      <c r="E12" s="36"/>
    </row>
    <row r="13" spans="1:6" ht="17.25" customHeight="1" x14ac:dyDescent="0.2">
      <c r="A13" s="44" t="s">
        <v>922</v>
      </c>
      <c r="B13" s="221" t="s">
        <v>314</v>
      </c>
      <c r="C13" s="221"/>
      <c r="D13" s="221"/>
      <c r="E13" s="221"/>
    </row>
    <row r="14" spans="1:6" ht="17.25" customHeight="1" x14ac:dyDescent="0.2">
      <c r="A14" s="44" t="s">
        <v>1504</v>
      </c>
      <c r="B14" s="221" t="s">
        <v>372</v>
      </c>
      <c r="C14" s="221"/>
      <c r="D14" s="221"/>
      <c r="E14" s="221"/>
    </row>
    <row r="15" spans="1:6" s="43" customFormat="1" ht="21" customHeight="1" x14ac:dyDescent="0.2">
      <c r="A15" s="45" t="s">
        <v>1505</v>
      </c>
      <c r="B15" s="214" t="s">
        <v>370</v>
      </c>
      <c r="C15" s="214"/>
      <c r="D15" s="214"/>
      <c r="E15" s="214"/>
      <c r="F15" s="71" t="s">
        <v>865</v>
      </c>
    </row>
    <row r="16" spans="1:6" s="139" customFormat="1" ht="14.25" x14ac:dyDescent="0.2">
      <c r="A16" s="135"/>
      <c r="B16" s="136"/>
      <c r="C16" s="137"/>
      <c r="D16" s="137" t="s">
        <v>883</v>
      </c>
      <c r="E16" s="138" t="s">
        <v>1295</v>
      </c>
    </row>
    <row r="17" spans="1:6" customFormat="1" ht="14.25" x14ac:dyDescent="0.2">
      <c r="A17" s="140" t="s">
        <v>1506</v>
      </c>
      <c r="B17" s="141"/>
      <c r="C17" s="141"/>
      <c r="D17" s="142">
        <v>2</v>
      </c>
      <c r="E17" s="143">
        <f>D17</f>
        <v>2</v>
      </c>
    </row>
    <row r="18" spans="1:6" s="53" customFormat="1" ht="16.5" customHeight="1" x14ac:dyDescent="0.2">
      <c r="A18" s="210" t="s">
        <v>1507</v>
      </c>
      <c r="B18" s="211"/>
      <c r="C18" s="211"/>
      <c r="D18" s="211"/>
      <c r="E18" s="50">
        <f>SUM(E17:E17)</f>
        <v>2</v>
      </c>
    </row>
    <row r="19" spans="1:6" s="43" customFormat="1" ht="14.25" customHeight="1" x14ac:dyDescent="0.2">
      <c r="A19" s="210" t="s">
        <v>1508</v>
      </c>
      <c r="B19" s="211"/>
      <c r="C19" s="211"/>
      <c r="D19" s="211"/>
      <c r="E19" s="50">
        <v>0</v>
      </c>
    </row>
    <row r="20" spans="1:6" s="43" customFormat="1" ht="15" customHeight="1" x14ac:dyDescent="0.2">
      <c r="A20" s="212" t="s">
        <v>1509</v>
      </c>
      <c r="B20" s="213"/>
      <c r="C20" s="213"/>
      <c r="D20" s="213"/>
      <c r="E20" s="72">
        <f>E18-E19</f>
        <v>2</v>
      </c>
    </row>
    <row r="21" spans="1:6" ht="14.25" customHeight="1" x14ac:dyDescent="0.2">
      <c r="A21" s="228"/>
      <c r="B21" s="229"/>
      <c r="C21" s="82"/>
      <c r="D21" s="82"/>
      <c r="E21" s="83"/>
    </row>
    <row r="22" spans="1:6" s="43" customFormat="1" ht="21" customHeight="1" x14ac:dyDescent="0.2">
      <c r="A22" s="45" t="s">
        <v>1710</v>
      </c>
      <c r="B22" s="214" t="s">
        <v>382</v>
      </c>
      <c r="C22" s="214"/>
      <c r="D22" s="214"/>
      <c r="E22" s="214"/>
      <c r="F22" s="71" t="s">
        <v>865</v>
      </c>
    </row>
    <row r="23" spans="1:6" s="139" customFormat="1" ht="14.25" x14ac:dyDescent="0.2">
      <c r="A23" s="135"/>
      <c r="B23" s="136"/>
      <c r="C23" s="137"/>
      <c r="D23" s="137" t="s">
        <v>883</v>
      </c>
      <c r="E23" s="138" t="s">
        <v>1295</v>
      </c>
    </row>
    <row r="24" spans="1:6" customFormat="1" ht="14.25" x14ac:dyDescent="0.2">
      <c r="A24" s="140" t="s">
        <v>1711</v>
      </c>
      <c r="B24" s="141"/>
      <c r="C24" s="141"/>
      <c r="D24" s="142">
        <v>4</v>
      </c>
      <c r="E24" s="143">
        <f>D24</f>
        <v>4</v>
      </c>
    </row>
    <row r="25" spans="1:6" s="53" customFormat="1" ht="16.5" customHeight="1" x14ac:dyDescent="0.2">
      <c r="A25" s="210" t="s">
        <v>1712</v>
      </c>
      <c r="B25" s="211"/>
      <c r="C25" s="211"/>
      <c r="D25" s="211"/>
      <c r="E25" s="50">
        <f>SUM(E24:E24)</f>
        <v>4</v>
      </c>
    </row>
    <row r="26" spans="1:6" s="43" customFormat="1" ht="14.25" customHeight="1" x14ac:dyDescent="0.2">
      <c r="A26" s="210" t="s">
        <v>1713</v>
      </c>
      <c r="B26" s="211"/>
      <c r="C26" s="211"/>
      <c r="D26" s="211"/>
      <c r="E26" s="50">
        <v>0</v>
      </c>
    </row>
    <row r="27" spans="1:6" s="43" customFormat="1" ht="15" customHeight="1" x14ac:dyDescent="0.2">
      <c r="A27" s="212" t="s">
        <v>1714</v>
      </c>
      <c r="B27" s="213"/>
      <c r="C27" s="213"/>
      <c r="D27" s="213"/>
      <c r="E27" s="72">
        <f>E25-E26</f>
        <v>4</v>
      </c>
    </row>
    <row r="28" spans="1:6" ht="14.25" customHeight="1" x14ac:dyDescent="0.2">
      <c r="A28" s="228"/>
      <c r="B28" s="229"/>
      <c r="C28" s="82"/>
      <c r="D28" s="82"/>
      <c r="E28" s="83"/>
    </row>
    <row r="29" spans="1:6" ht="17.25" customHeight="1" x14ac:dyDescent="0.2">
      <c r="A29" s="68" t="s">
        <v>923</v>
      </c>
      <c r="B29" s="224" t="s">
        <v>384</v>
      </c>
      <c r="C29" s="224"/>
      <c r="D29" s="224"/>
      <c r="E29" s="224"/>
    </row>
    <row r="30" spans="1:6" s="43" customFormat="1" ht="39.75" customHeight="1" x14ac:dyDescent="0.2">
      <c r="A30" s="45" t="s">
        <v>1510</v>
      </c>
      <c r="B30" s="214" t="s">
        <v>388</v>
      </c>
      <c r="C30" s="214"/>
      <c r="D30" s="214"/>
      <c r="E30" s="214"/>
    </row>
    <row r="31" spans="1:6" ht="14.25" customHeight="1" x14ac:dyDescent="0.2">
      <c r="A31" s="215" t="s">
        <v>1511</v>
      </c>
      <c r="B31" s="216"/>
      <c r="C31" s="216"/>
      <c r="D31" s="216"/>
      <c r="E31" s="62">
        <v>100</v>
      </c>
    </row>
    <row r="32" spans="1:6" ht="14.25" customHeight="1" x14ac:dyDescent="0.2">
      <c r="A32" s="215" t="s">
        <v>1512</v>
      </c>
      <c r="B32" s="216"/>
      <c r="C32" s="216"/>
      <c r="D32" s="216"/>
      <c r="E32" s="62">
        <v>100</v>
      </c>
    </row>
    <row r="33" spans="1:6" ht="14.25" customHeight="1" x14ac:dyDescent="0.2">
      <c r="A33" s="210" t="s">
        <v>1513</v>
      </c>
      <c r="B33" s="211"/>
      <c r="C33" s="211"/>
      <c r="D33" s="211"/>
      <c r="E33" s="62">
        <v>0</v>
      </c>
    </row>
    <row r="34" spans="1:6" ht="14.25" customHeight="1" x14ac:dyDescent="0.2">
      <c r="A34" s="212" t="s">
        <v>1514</v>
      </c>
      <c r="B34" s="213"/>
      <c r="C34" s="213"/>
      <c r="D34" s="213"/>
      <c r="E34" s="63">
        <f>E31</f>
        <v>100</v>
      </c>
    </row>
    <row r="35" spans="1:6" x14ac:dyDescent="0.2">
      <c r="A35" s="65"/>
      <c r="B35" s="46"/>
      <c r="C35" s="46"/>
      <c r="D35" s="46"/>
      <c r="E35" s="66"/>
    </row>
    <row r="36" spans="1:6" s="43" customFormat="1" ht="48.75" customHeight="1" x14ac:dyDescent="0.2">
      <c r="A36" s="45" t="s">
        <v>1515</v>
      </c>
      <c r="B36" s="214" t="s">
        <v>390</v>
      </c>
      <c r="C36" s="214"/>
      <c r="D36" s="214"/>
      <c r="E36" s="214"/>
      <c r="F36" s="43" t="s">
        <v>865</v>
      </c>
    </row>
    <row r="37" spans="1:6" ht="15.75" customHeight="1" x14ac:dyDescent="0.2">
      <c r="A37" s="210" t="s">
        <v>1516</v>
      </c>
      <c r="B37" s="211"/>
      <c r="C37" s="211"/>
      <c r="D37" s="211"/>
      <c r="E37" s="62">
        <v>62</v>
      </c>
    </row>
    <row r="38" spans="1:6" ht="14.25" customHeight="1" x14ac:dyDescent="0.2">
      <c r="A38" s="215" t="s">
        <v>1517</v>
      </c>
      <c r="B38" s="216"/>
      <c r="C38" s="216"/>
      <c r="D38" s="216"/>
      <c r="E38" s="62">
        <v>62</v>
      </c>
    </row>
    <row r="39" spans="1:6" ht="14.25" customHeight="1" x14ac:dyDescent="0.2">
      <c r="A39" s="217" t="s">
        <v>1525</v>
      </c>
      <c r="B39" s="218"/>
      <c r="C39" s="218"/>
      <c r="D39" s="218"/>
      <c r="E39" s="62">
        <v>0</v>
      </c>
    </row>
    <row r="40" spans="1:6" ht="14.25" customHeight="1" x14ac:dyDescent="0.2">
      <c r="A40" s="219" t="s">
        <v>1526</v>
      </c>
      <c r="B40" s="220"/>
      <c r="C40" s="220"/>
      <c r="D40" s="220"/>
      <c r="E40" s="63">
        <f>E37-E39</f>
        <v>62</v>
      </c>
    </row>
    <row r="41" spans="1:6" x14ac:dyDescent="0.2">
      <c r="A41" s="65"/>
      <c r="B41" s="46"/>
      <c r="C41" s="46"/>
      <c r="D41" s="46"/>
      <c r="E41" s="66"/>
    </row>
    <row r="42" spans="1:6" s="43" customFormat="1" ht="48.75" customHeight="1" x14ac:dyDescent="0.2">
      <c r="A42" s="45" t="s">
        <v>1522</v>
      </c>
      <c r="B42" s="214" t="s">
        <v>403</v>
      </c>
      <c r="C42" s="214"/>
      <c r="D42" s="214"/>
      <c r="E42" s="214"/>
      <c r="F42" s="43" t="s">
        <v>865</v>
      </c>
    </row>
    <row r="43" spans="1:6" ht="15.75" customHeight="1" x14ac:dyDescent="0.2">
      <c r="A43" s="210" t="s">
        <v>1523</v>
      </c>
      <c r="B43" s="211"/>
      <c r="C43" s="211"/>
      <c r="D43" s="211"/>
      <c r="E43" s="62">
        <v>4</v>
      </c>
    </row>
    <row r="44" spans="1:6" ht="14.25" customHeight="1" x14ac:dyDescent="0.2">
      <c r="A44" s="215" t="s">
        <v>1524</v>
      </c>
      <c r="B44" s="216"/>
      <c r="C44" s="216"/>
      <c r="D44" s="216"/>
      <c r="E44" s="62">
        <v>4</v>
      </c>
    </row>
    <row r="45" spans="1:6" ht="14.25" customHeight="1" x14ac:dyDescent="0.2">
      <c r="A45" s="217" t="s">
        <v>1527</v>
      </c>
      <c r="B45" s="218"/>
      <c r="C45" s="218"/>
      <c r="D45" s="218"/>
      <c r="E45" s="62">
        <v>0</v>
      </c>
    </row>
    <row r="46" spans="1:6" ht="14.25" customHeight="1" x14ac:dyDescent="0.2">
      <c r="A46" s="219" t="s">
        <v>1528</v>
      </c>
      <c r="B46" s="220"/>
      <c r="C46" s="220"/>
      <c r="D46" s="220"/>
      <c r="E46" s="63">
        <f>E43-E45</f>
        <v>4</v>
      </c>
    </row>
    <row r="47" spans="1:6" x14ac:dyDescent="0.2">
      <c r="A47" s="65"/>
      <c r="B47" s="46"/>
      <c r="C47" s="46"/>
      <c r="D47" s="46"/>
      <c r="E47" s="66"/>
    </row>
  </sheetData>
  <mergeCells count="29">
    <mergeCell ref="A32:D32"/>
    <mergeCell ref="A33:D33"/>
    <mergeCell ref="A34:D34"/>
    <mergeCell ref="A31:D31"/>
    <mergeCell ref="A44:D44"/>
    <mergeCell ref="A45:D45"/>
    <mergeCell ref="A46:D46"/>
    <mergeCell ref="B36:E36"/>
    <mergeCell ref="A37:D37"/>
    <mergeCell ref="A38:D38"/>
    <mergeCell ref="A39:D39"/>
    <mergeCell ref="A40:D40"/>
    <mergeCell ref="B42:E42"/>
    <mergeCell ref="A43:D43"/>
    <mergeCell ref="A11:E11"/>
    <mergeCell ref="B13:E13"/>
    <mergeCell ref="B14:E14"/>
    <mergeCell ref="B15:E15"/>
    <mergeCell ref="A18:D18"/>
    <mergeCell ref="A19:D19"/>
    <mergeCell ref="A20:D20"/>
    <mergeCell ref="A21:B21"/>
    <mergeCell ref="B29:E29"/>
    <mergeCell ref="B30:E30"/>
    <mergeCell ref="B22:E22"/>
    <mergeCell ref="A25:D25"/>
    <mergeCell ref="A26:D26"/>
    <mergeCell ref="A27:D27"/>
    <mergeCell ref="A28:B28"/>
  </mergeCells>
  <printOptions horizontalCentered="1"/>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EFE2A-0022-4735-8A6C-60C6D3C87326}">
  <sheetPr>
    <tabColor theme="4"/>
  </sheetPr>
  <dimension ref="A1:E149"/>
  <sheetViews>
    <sheetView view="pageBreakPreview" topLeftCell="A20" zoomScale="90" zoomScaleNormal="95" zoomScaleSheetLayoutView="90" workbookViewId="0">
      <selection activeCell="C39" sqref="C39"/>
    </sheetView>
  </sheetViews>
  <sheetFormatPr defaultColWidth="9" defaultRowHeight="12.75" x14ac:dyDescent="0.2"/>
  <cols>
    <col min="1" max="1" width="20" style="35" customWidth="1"/>
    <col min="2" max="2" width="22.25" style="35" customWidth="1"/>
    <col min="3" max="3" width="29.125" style="35" customWidth="1"/>
    <col min="4" max="4" width="16.75" style="42" customWidth="1"/>
    <col min="5" max="5" width="0" style="33" hidden="1" customWidth="1"/>
    <col min="6" max="16384" width="9" style="33"/>
  </cols>
  <sheetData>
    <row r="1" spans="1:5" x14ac:dyDescent="0.2">
      <c r="A1" s="30"/>
      <c r="B1" s="31"/>
      <c r="C1" s="31"/>
      <c r="D1" s="32"/>
    </row>
    <row r="2" spans="1:5" x14ac:dyDescent="0.2">
      <c r="A2" s="34"/>
      <c r="D2" s="36"/>
    </row>
    <row r="3" spans="1:5" x14ac:dyDescent="0.2">
      <c r="A3" s="34"/>
      <c r="D3" s="36"/>
    </row>
    <row r="4" spans="1:5" x14ac:dyDescent="0.2">
      <c r="A4" s="34"/>
      <c r="D4" s="36"/>
    </row>
    <row r="5" spans="1:5" x14ac:dyDescent="0.2">
      <c r="A5" s="37"/>
      <c r="B5" s="38"/>
      <c r="C5" s="39"/>
      <c r="D5" s="40"/>
    </row>
    <row r="6" spans="1:5" x14ac:dyDescent="0.2">
      <c r="A6" s="37" t="s">
        <v>820</v>
      </c>
      <c r="B6" s="38"/>
      <c r="C6" s="39"/>
      <c r="D6" s="40"/>
    </row>
    <row r="7" spans="1:5" x14ac:dyDescent="0.2">
      <c r="A7" s="37" t="s">
        <v>2</v>
      </c>
      <c r="B7" s="38"/>
      <c r="C7" s="39"/>
      <c r="D7" s="40"/>
    </row>
    <row r="8" spans="1:5" x14ac:dyDescent="0.2">
      <c r="A8" s="37" t="s">
        <v>1313</v>
      </c>
      <c r="B8" s="38"/>
      <c r="C8" s="39"/>
      <c r="D8" s="40"/>
    </row>
    <row r="9" spans="1:5" x14ac:dyDescent="0.2">
      <c r="A9" s="37"/>
      <c r="B9" s="38"/>
      <c r="C9" s="39"/>
      <c r="D9" s="40"/>
    </row>
    <row r="10" spans="1:5" ht="13.5" thickBot="1" x14ac:dyDescent="0.25">
      <c r="A10" s="148"/>
      <c r="B10" s="59"/>
      <c r="C10" s="59"/>
      <c r="D10" s="149"/>
    </row>
    <row r="11" spans="1:5" s="43" customFormat="1" ht="21" customHeight="1" thickBot="1" x14ac:dyDescent="0.25">
      <c r="A11" s="248" t="s">
        <v>1314</v>
      </c>
      <c r="B11" s="249"/>
      <c r="C11" s="249"/>
      <c r="D11" s="250"/>
    </row>
    <row r="12" spans="1:5" x14ac:dyDescent="0.2">
      <c r="A12" s="65"/>
      <c r="B12" s="46"/>
      <c r="C12" s="46"/>
      <c r="D12" s="66"/>
    </row>
    <row r="13" spans="1:5" ht="17.25" customHeight="1" x14ac:dyDescent="0.2">
      <c r="A13" s="44" t="s">
        <v>959</v>
      </c>
      <c r="B13" s="221" t="s">
        <v>422</v>
      </c>
      <c r="C13" s="221"/>
      <c r="D13" s="221"/>
    </row>
    <row r="14" spans="1:5" ht="17.25" customHeight="1" x14ac:dyDescent="0.2">
      <c r="A14" s="44" t="s">
        <v>1725</v>
      </c>
      <c r="B14" s="221" t="s">
        <v>1726</v>
      </c>
      <c r="C14" s="221"/>
      <c r="D14" s="221"/>
    </row>
    <row r="15" spans="1:5" s="43" customFormat="1" ht="58.5" customHeight="1" x14ac:dyDescent="0.2">
      <c r="A15" s="45" t="s">
        <v>1727</v>
      </c>
      <c r="B15" s="214" t="s">
        <v>426</v>
      </c>
      <c r="C15" s="214"/>
      <c r="D15" s="214"/>
      <c r="E15" s="71" t="s">
        <v>865</v>
      </c>
    </row>
    <row r="16" spans="1:5" s="139" customFormat="1" ht="14.25" x14ac:dyDescent="0.2">
      <c r="A16" s="305" t="s">
        <v>821</v>
      </c>
      <c r="B16" s="306"/>
      <c r="C16" s="137" t="s">
        <v>883</v>
      </c>
      <c r="D16" s="138" t="s">
        <v>1295</v>
      </c>
    </row>
    <row r="17" spans="1:5" s="53" customFormat="1" ht="15" customHeight="1" x14ac:dyDescent="0.2">
      <c r="A17" s="132" t="s">
        <v>1728</v>
      </c>
      <c r="B17" s="78"/>
      <c r="C17" s="144">
        <v>54</v>
      </c>
      <c r="D17" s="73">
        <f>C17</f>
        <v>54</v>
      </c>
    </row>
    <row r="18" spans="1:5" s="53" customFormat="1" ht="15" customHeight="1" x14ac:dyDescent="0.2">
      <c r="A18" s="132" t="s">
        <v>1304</v>
      </c>
      <c r="B18" s="78"/>
      <c r="C18" s="144">
        <v>46</v>
      </c>
      <c r="D18" s="73">
        <f>C18</f>
        <v>46</v>
      </c>
    </row>
    <row r="19" spans="1:5" s="53" customFormat="1" ht="16.5" customHeight="1" x14ac:dyDescent="0.2">
      <c r="A19" s="132" t="s">
        <v>1163</v>
      </c>
      <c r="B19" s="78"/>
      <c r="C19" s="145">
        <v>89</v>
      </c>
      <c r="D19" s="73">
        <f>C19</f>
        <v>89</v>
      </c>
    </row>
    <row r="20" spans="1:5" s="53" customFormat="1" ht="16.5" customHeight="1" x14ac:dyDescent="0.2">
      <c r="A20" s="132" t="s">
        <v>1729</v>
      </c>
      <c r="B20" s="78"/>
      <c r="C20" s="145">
        <v>83</v>
      </c>
      <c r="D20" s="73">
        <f t="shared" ref="D20:D24" si="0">C20</f>
        <v>83</v>
      </c>
    </row>
    <row r="21" spans="1:5" s="53" customFormat="1" ht="16.5" customHeight="1" x14ac:dyDescent="0.2">
      <c r="A21" s="77" t="s">
        <v>1730</v>
      </c>
      <c r="B21" s="78"/>
      <c r="C21" s="145">
        <v>94</v>
      </c>
      <c r="D21" s="73">
        <f t="shared" si="0"/>
        <v>94</v>
      </c>
    </row>
    <row r="22" spans="1:5" s="53" customFormat="1" ht="16.5" customHeight="1" x14ac:dyDescent="0.2">
      <c r="A22" s="77" t="s">
        <v>1079</v>
      </c>
      <c r="B22" s="78"/>
      <c r="C22" s="145">
        <v>85</v>
      </c>
      <c r="D22" s="73">
        <f t="shared" si="0"/>
        <v>85</v>
      </c>
    </row>
    <row r="23" spans="1:5" s="53" customFormat="1" ht="16.5" customHeight="1" x14ac:dyDescent="0.2">
      <c r="A23" s="77" t="s">
        <v>1080</v>
      </c>
      <c r="B23" s="78"/>
      <c r="C23" s="145">
        <v>85</v>
      </c>
      <c r="D23" s="73">
        <f t="shared" si="0"/>
        <v>85</v>
      </c>
    </row>
    <row r="24" spans="1:5" s="53" customFormat="1" ht="16.5" customHeight="1" x14ac:dyDescent="0.2">
      <c r="A24" s="77" t="s">
        <v>1302</v>
      </c>
      <c r="B24" s="78"/>
      <c r="C24" s="145">
        <v>85</v>
      </c>
      <c r="D24" s="73">
        <f t="shared" si="0"/>
        <v>85</v>
      </c>
    </row>
    <row r="25" spans="1:5" s="53" customFormat="1" ht="16.5" customHeight="1" x14ac:dyDescent="0.2">
      <c r="A25" s="210" t="s">
        <v>1731</v>
      </c>
      <c r="B25" s="211"/>
      <c r="C25" s="211"/>
      <c r="D25" s="50">
        <f>SUM(D17:E24)</f>
        <v>621</v>
      </c>
    </row>
    <row r="26" spans="1:5" s="43" customFormat="1" ht="14.25" customHeight="1" x14ac:dyDescent="0.2">
      <c r="A26" s="210" t="s">
        <v>1732</v>
      </c>
      <c r="B26" s="211"/>
      <c r="C26" s="211"/>
      <c r="D26" s="50">
        <v>889</v>
      </c>
    </row>
    <row r="27" spans="1:5" s="43" customFormat="1" ht="14.25" customHeight="1" x14ac:dyDescent="0.2">
      <c r="A27" s="210" t="s">
        <v>1735</v>
      </c>
      <c r="B27" s="211"/>
      <c r="C27" s="211"/>
      <c r="D27" s="50">
        <v>446</v>
      </c>
    </row>
    <row r="28" spans="1:5" s="43" customFormat="1" ht="16.5" customHeight="1" x14ac:dyDescent="0.2">
      <c r="A28" s="212" t="s">
        <v>1736</v>
      </c>
      <c r="B28" s="213"/>
      <c r="C28" s="213"/>
      <c r="D28" s="72">
        <f>D25-D27</f>
        <v>175</v>
      </c>
    </row>
    <row r="29" spans="1:5" s="43" customFormat="1" ht="14.25" customHeight="1" x14ac:dyDescent="0.2">
      <c r="A29" s="210"/>
      <c r="B29" s="211"/>
      <c r="C29" s="211"/>
      <c r="D29" s="50"/>
    </row>
    <row r="30" spans="1:5" s="43" customFormat="1" ht="58.5" customHeight="1" x14ac:dyDescent="0.2">
      <c r="A30" s="45" t="s">
        <v>1733</v>
      </c>
      <c r="B30" s="214" t="s">
        <v>430</v>
      </c>
      <c r="C30" s="214"/>
      <c r="D30" s="214"/>
      <c r="E30" s="71" t="s">
        <v>865</v>
      </c>
    </row>
    <row r="31" spans="1:5" s="139" customFormat="1" ht="14.25" x14ac:dyDescent="0.2">
      <c r="A31" s="305" t="s">
        <v>821</v>
      </c>
      <c r="B31" s="306"/>
      <c r="C31" s="137" t="s">
        <v>883</v>
      </c>
      <c r="D31" s="138" t="s">
        <v>1295</v>
      </c>
    </row>
    <row r="32" spans="1:5" s="53" customFormat="1" ht="15" customHeight="1" x14ac:dyDescent="0.2">
      <c r="A32" s="132" t="s">
        <v>1728</v>
      </c>
      <c r="B32" s="78"/>
      <c r="C32" s="144">
        <v>35</v>
      </c>
      <c r="D32" s="73">
        <f>C32</f>
        <v>35</v>
      </c>
    </row>
    <row r="33" spans="1:5" s="53" customFormat="1" ht="15" customHeight="1" x14ac:dyDescent="0.2">
      <c r="A33" s="132" t="s">
        <v>1304</v>
      </c>
      <c r="B33" s="78"/>
      <c r="C33" s="144">
        <v>35</v>
      </c>
      <c r="D33" s="73">
        <f>C33</f>
        <v>35</v>
      </c>
    </row>
    <row r="34" spans="1:5" s="53" customFormat="1" ht="16.5" customHeight="1" x14ac:dyDescent="0.2">
      <c r="A34" s="132" t="s">
        <v>1163</v>
      </c>
      <c r="B34" s="78"/>
      <c r="C34" s="145">
        <v>103</v>
      </c>
      <c r="D34" s="73">
        <f>C34</f>
        <v>103</v>
      </c>
    </row>
    <row r="35" spans="1:5" s="53" customFormat="1" ht="16.5" customHeight="1" x14ac:dyDescent="0.2">
      <c r="A35" s="132" t="s">
        <v>1021</v>
      </c>
      <c r="B35" s="78"/>
      <c r="C35" s="145">
        <v>66</v>
      </c>
      <c r="D35" s="73">
        <f t="shared" ref="D35:D39" si="1">C35</f>
        <v>66</v>
      </c>
    </row>
    <row r="36" spans="1:5" s="53" customFormat="1" ht="16.5" customHeight="1" x14ac:dyDescent="0.2">
      <c r="A36" s="132" t="s">
        <v>1022</v>
      </c>
      <c r="B36" s="78"/>
      <c r="C36" s="145">
        <v>102</v>
      </c>
      <c r="D36" s="73">
        <f t="shared" si="1"/>
        <v>102</v>
      </c>
    </row>
    <row r="37" spans="1:5" s="53" customFormat="1" ht="16.5" customHeight="1" x14ac:dyDescent="0.2">
      <c r="A37" s="77" t="s">
        <v>1079</v>
      </c>
      <c r="B37" s="78"/>
      <c r="C37" s="145">
        <v>102</v>
      </c>
      <c r="D37" s="73">
        <f t="shared" si="1"/>
        <v>102</v>
      </c>
    </row>
    <row r="38" spans="1:5" s="53" customFormat="1" ht="16.5" customHeight="1" x14ac:dyDescent="0.2">
      <c r="A38" s="77" t="s">
        <v>1080</v>
      </c>
      <c r="B38" s="78"/>
      <c r="C38" s="145">
        <v>101</v>
      </c>
      <c r="D38" s="73">
        <f t="shared" si="1"/>
        <v>101</v>
      </c>
    </row>
    <row r="39" spans="1:5" s="53" customFormat="1" ht="16.5" customHeight="1" x14ac:dyDescent="0.2">
      <c r="A39" s="77" t="s">
        <v>1302</v>
      </c>
      <c r="B39" s="78"/>
      <c r="C39" s="145">
        <v>98</v>
      </c>
      <c r="D39" s="73">
        <f t="shared" si="1"/>
        <v>98</v>
      </c>
    </row>
    <row r="40" spans="1:5" s="53" customFormat="1" ht="16.5" customHeight="1" x14ac:dyDescent="0.2">
      <c r="A40" s="210" t="s">
        <v>1734</v>
      </c>
      <c r="B40" s="211"/>
      <c r="C40" s="211"/>
      <c r="D40" s="50">
        <f>SUM(D32:E38)</f>
        <v>544</v>
      </c>
    </row>
    <row r="41" spans="1:5" s="43" customFormat="1" ht="14.25" customHeight="1" x14ac:dyDescent="0.2">
      <c r="A41" s="210" t="s">
        <v>1737</v>
      </c>
      <c r="B41" s="211"/>
      <c r="C41" s="211"/>
      <c r="D41" s="50">
        <v>414</v>
      </c>
    </row>
    <row r="42" spans="1:5" s="43" customFormat="1" ht="16.5" customHeight="1" x14ac:dyDescent="0.2">
      <c r="A42" s="212" t="s">
        <v>1738</v>
      </c>
      <c r="B42" s="213"/>
      <c r="C42" s="213"/>
      <c r="D42" s="72">
        <f>D40-D41</f>
        <v>130</v>
      </c>
    </row>
    <row r="43" spans="1:5" ht="14.25" customHeight="1" x14ac:dyDescent="0.2">
      <c r="A43" s="228"/>
      <c r="B43" s="229"/>
      <c r="C43" s="82"/>
      <c r="D43" s="83"/>
    </row>
    <row r="44" spans="1:5" ht="17.25" customHeight="1" x14ac:dyDescent="0.2">
      <c r="A44" s="44" t="s">
        <v>1529</v>
      </c>
      <c r="B44" s="221" t="s">
        <v>530</v>
      </c>
      <c r="C44" s="221"/>
      <c r="D44" s="221"/>
    </row>
    <row r="45" spans="1:5" s="43" customFormat="1" ht="43.5" customHeight="1" x14ac:dyDescent="0.2">
      <c r="A45" s="45" t="s">
        <v>1532</v>
      </c>
      <c r="B45" s="214" t="s">
        <v>536</v>
      </c>
      <c r="C45" s="214"/>
      <c r="D45" s="214"/>
      <c r="E45" s="71" t="s">
        <v>865</v>
      </c>
    </row>
    <row r="46" spans="1:5" s="139" customFormat="1" ht="14.25" x14ac:dyDescent="0.2">
      <c r="A46" s="305" t="s">
        <v>821</v>
      </c>
      <c r="B46" s="306"/>
      <c r="C46" s="137" t="s">
        <v>1303</v>
      </c>
      <c r="D46" s="138" t="s">
        <v>1091</v>
      </c>
    </row>
    <row r="47" spans="1:5" s="53" customFormat="1" ht="15" customHeight="1" x14ac:dyDescent="0.2">
      <c r="A47" s="132" t="s">
        <v>1530</v>
      </c>
      <c r="B47" s="78"/>
      <c r="C47" s="144">
        <v>42.3</v>
      </c>
      <c r="D47" s="73">
        <f>C47</f>
        <v>42.3</v>
      </c>
    </row>
    <row r="48" spans="1:5" s="53" customFormat="1" ht="16.5" customHeight="1" x14ac:dyDescent="0.2">
      <c r="A48" s="77"/>
      <c r="B48" s="78"/>
      <c r="C48" s="145"/>
      <c r="D48" s="73"/>
    </row>
    <row r="49" spans="1:5" s="53" customFormat="1" ht="16.5" customHeight="1" x14ac:dyDescent="0.2">
      <c r="A49" s="210" t="s">
        <v>1531</v>
      </c>
      <c r="B49" s="211"/>
      <c r="C49" s="211"/>
      <c r="D49" s="50">
        <f>SUM(D47:E48)</f>
        <v>42.3</v>
      </c>
    </row>
    <row r="50" spans="1:5" s="43" customFormat="1" ht="14.25" customHeight="1" x14ac:dyDescent="0.2">
      <c r="A50" s="210" t="s">
        <v>1534</v>
      </c>
      <c r="B50" s="211"/>
      <c r="C50" s="211"/>
      <c r="D50" s="50">
        <v>42.3</v>
      </c>
    </row>
    <row r="51" spans="1:5" s="43" customFormat="1" ht="14.25" customHeight="1" x14ac:dyDescent="0.2">
      <c r="A51" s="210" t="s">
        <v>1535</v>
      </c>
      <c r="B51" s="211"/>
      <c r="C51" s="211"/>
      <c r="D51" s="50">
        <v>0</v>
      </c>
    </row>
    <row r="52" spans="1:5" s="43" customFormat="1" ht="16.5" customHeight="1" x14ac:dyDescent="0.2">
      <c r="A52" s="212" t="s">
        <v>1536</v>
      </c>
      <c r="B52" s="213"/>
      <c r="C52" s="213"/>
      <c r="D52" s="72">
        <f>D49-D51</f>
        <v>42.3</v>
      </c>
    </row>
    <row r="53" spans="1:5" s="43" customFormat="1" ht="14.25" customHeight="1" x14ac:dyDescent="0.2">
      <c r="A53" s="210"/>
      <c r="B53" s="211"/>
      <c r="C53" s="211"/>
      <c r="D53" s="50"/>
    </row>
    <row r="54" spans="1:5" s="43" customFormat="1" ht="44.25" customHeight="1" x14ac:dyDescent="0.2">
      <c r="A54" s="45" t="s">
        <v>1533</v>
      </c>
      <c r="B54" s="214" t="s">
        <v>538</v>
      </c>
      <c r="C54" s="214"/>
      <c r="D54" s="214"/>
      <c r="E54" s="71" t="s">
        <v>865</v>
      </c>
    </row>
    <row r="55" spans="1:5" s="139" customFormat="1" ht="14.25" x14ac:dyDescent="0.2">
      <c r="A55" s="305" t="s">
        <v>821</v>
      </c>
      <c r="B55" s="306"/>
      <c r="C55" s="137" t="s">
        <v>1303</v>
      </c>
      <c r="D55" s="138" t="s">
        <v>1091</v>
      </c>
    </row>
    <row r="56" spans="1:5" s="53" customFormat="1" ht="15" customHeight="1" x14ac:dyDescent="0.2">
      <c r="A56" s="132" t="s">
        <v>1530</v>
      </c>
      <c r="B56" s="78"/>
      <c r="C56" s="144">
        <v>613.29999999999995</v>
      </c>
      <c r="D56" s="73">
        <f>C56</f>
        <v>613.29999999999995</v>
      </c>
    </row>
    <row r="57" spans="1:5" s="53" customFormat="1" ht="15" customHeight="1" x14ac:dyDescent="0.2">
      <c r="A57" s="132"/>
      <c r="B57" s="78"/>
      <c r="C57" s="144"/>
      <c r="D57" s="73"/>
    </row>
    <row r="58" spans="1:5" s="53" customFormat="1" ht="16.5" customHeight="1" x14ac:dyDescent="0.2">
      <c r="A58" s="210" t="s">
        <v>1531</v>
      </c>
      <c r="B58" s="211"/>
      <c r="C58" s="211"/>
      <c r="D58" s="73">
        <f>D56</f>
        <v>613.29999999999995</v>
      </c>
    </row>
    <row r="59" spans="1:5" s="53" customFormat="1" ht="16.5" customHeight="1" x14ac:dyDescent="0.2">
      <c r="A59" s="210" t="s">
        <v>1534</v>
      </c>
      <c r="B59" s="211"/>
      <c r="C59" s="211"/>
      <c r="D59" s="50">
        <f>SUM(D56:E56)</f>
        <v>613.29999999999995</v>
      </c>
    </row>
    <row r="60" spans="1:5" s="43" customFormat="1" ht="14.25" customHeight="1" x14ac:dyDescent="0.2">
      <c r="A60" s="210" t="s">
        <v>1535</v>
      </c>
      <c r="B60" s="211"/>
      <c r="C60" s="211"/>
      <c r="D60" s="50">
        <v>0</v>
      </c>
    </row>
    <row r="61" spans="1:5" s="43" customFormat="1" ht="16.5" customHeight="1" x14ac:dyDescent="0.2">
      <c r="A61" s="212" t="s">
        <v>1536</v>
      </c>
      <c r="B61" s="213"/>
      <c r="C61" s="213"/>
      <c r="D61" s="72">
        <f>D59-D60</f>
        <v>613.29999999999995</v>
      </c>
    </row>
    <row r="62" spans="1:5" ht="14.25" customHeight="1" x14ac:dyDescent="0.2">
      <c r="A62" s="228"/>
      <c r="B62" s="229"/>
      <c r="C62" s="82"/>
      <c r="D62" s="83"/>
    </row>
    <row r="63" spans="1:5" s="43" customFormat="1" ht="24" hidden="1" customHeight="1" x14ac:dyDescent="0.2">
      <c r="A63" s="44" t="s">
        <v>993</v>
      </c>
      <c r="B63" s="221" t="s">
        <v>436</v>
      </c>
      <c r="C63" s="221"/>
      <c r="D63" s="221"/>
      <c r="E63" s="71" t="s">
        <v>865</v>
      </c>
    </row>
    <row r="64" spans="1:5" s="43" customFormat="1" ht="40.5" hidden="1" customHeight="1" x14ac:dyDescent="0.2">
      <c r="A64" s="45" t="s">
        <v>994</v>
      </c>
      <c r="B64" s="214" t="s">
        <v>440</v>
      </c>
      <c r="C64" s="214"/>
      <c r="D64" s="214"/>
      <c r="E64" s="71" t="s">
        <v>865</v>
      </c>
    </row>
    <row r="65" spans="1:5" s="139" customFormat="1" ht="14.25" hidden="1" x14ac:dyDescent="0.2">
      <c r="A65" s="305" t="s">
        <v>821</v>
      </c>
      <c r="B65" s="306"/>
      <c r="C65" s="137" t="s">
        <v>883</v>
      </c>
      <c r="D65" s="138" t="s">
        <v>1295</v>
      </c>
    </row>
    <row r="66" spans="1:5" s="53" customFormat="1" ht="15" hidden="1" customHeight="1" x14ac:dyDescent="0.2">
      <c r="A66" s="146" t="s">
        <v>1022</v>
      </c>
      <c r="B66" s="78" t="s">
        <v>1305</v>
      </c>
      <c r="C66" s="144">
        <v>1</v>
      </c>
      <c r="D66" s="73">
        <f>C66</f>
        <v>1</v>
      </c>
    </row>
    <row r="67" spans="1:5" s="53" customFormat="1" ht="16.5" hidden="1" customHeight="1" x14ac:dyDescent="0.2">
      <c r="A67" s="146" t="s">
        <v>1079</v>
      </c>
      <c r="B67" s="78" t="s">
        <v>1306</v>
      </c>
      <c r="C67" s="145">
        <v>1</v>
      </c>
      <c r="D67" s="73">
        <f t="shared" ref="D67:D69" si="2">C67</f>
        <v>1</v>
      </c>
    </row>
    <row r="68" spans="1:5" s="53" customFormat="1" ht="15.75" hidden="1" customHeight="1" x14ac:dyDescent="0.2">
      <c r="A68" s="146" t="s">
        <v>1080</v>
      </c>
      <c r="B68" s="78" t="s">
        <v>1307</v>
      </c>
      <c r="C68" s="145">
        <v>1</v>
      </c>
      <c r="D68" s="73">
        <f t="shared" si="2"/>
        <v>1</v>
      </c>
    </row>
    <row r="69" spans="1:5" s="53" customFormat="1" ht="16.5" hidden="1" customHeight="1" x14ac:dyDescent="0.2">
      <c r="A69" s="147" t="s">
        <v>1302</v>
      </c>
      <c r="B69" s="88" t="s">
        <v>1308</v>
      </c>
      <c r="C69" s="145">
        <v>1</v>
      </c>
      <c r="D69" s="73">
        <f t="shared" si="2"/>
        <v>1</v>
      </c>
    </row>
    <row r="70" spans="1:5" s="53" customFormat="1" ht="16.5" hidden="1" customHeight="1" x14ac:dyDescent="0.2">
      <c r="A70" s="210" t="s">
        <v>995</v>
      </c>
      <c r="B70" s="211"/>
      <c r="C70" s="211"/>
      <c r="D70" s="50">
        <f>SUM(D66:D69)</f>
        <v>4</v>
      </c>
    </row>
    <row r="71" spans="1:5" s="53" customFormat="1" ht="14.25" hidden="1" customHeight="1" x14ac:dyDescent="0.2">
      <c r="A71" s="210" t="s">
        <v>996</v>
      </c>
      <c r="B71" s="211"/>
      <c r="C71" s="211"/>
      <c r="D71" s="50">
        <v>21</v>
      </c>
    </row>
    <row r="72" spans="1:5" s="53" customFormat="1" ht="14.25" hidden="1" customHeight="1" x14ac:dyDescent="0.2">
      <c r="A72" s="210" t="s">
        <v>997</v>
      </c>
      <c r="B72" s="211"/>
      <c r="C72" s="211"/>
      <c r="D72" s="50">
        <v>0</v>
      </c>
    </row>
    <row r="73" spans="1:5" hidden="1" x14ac:dyDescent="0.2">
      <c r="A73" s="212" t="s">
        <v>998</v>
      </c>
      <c r="B73" s="213"/>
      <c r="C73" s="213"/>
      <c r="D73" s="72">
        <f>D70-D72</f>
        <v>4</v>
      </c>
    </row>
    <row r="74" spans="1:5" hidden="1" x14ac:dyDescent="0.2">
      <c r="A74" s="34"/>
      <c r="D74" s="36"/>
    </row>
    <row r="75" spans="1:5" s="43" customFormat="1" ht="24" hidden="1" customHeight="1" x14ac:dyDescent="0.2">
      <c r="A75" s="44" t="s">
        <v>973</v>
      </c>
      <c r="B75" s="221" t="s">
        <v>470</v>
      </c>
      <c r="C75" s="221"/>
      <c r="D75" s="221"/>
      <c r="E75" s="71" t="s">
        <v>865</v>
      </c>
    </row>
    <row r="76" spans="1:5" s="43" customFormat="1" ht="32.25" hidden="1" customHeight="1" x14ac:dyDescent="0.2">
      <c r="A76" s="45" t="s">
        <v>974</v>
      </c>
      <c r="B76" s="214" t="s">
        <v>476</v>
      </c>
      <c r="C76" s="214"/>
      <c r="D76" s="214"/>
      <c r="E76" s="71" t="s">
        <v>865</v>
      </c>
    </row>
    <row r="77" spans="1:5" s="139" customFormat="1" ht="14.25" hidden="1" x14ac:dyDescent="0.2">
      <c r="A77" s="305" t="s">
        <v>821</v>
      </c>
      <c r="B77" s="306"/>
      <c r="C77" s="137" t="s">
        <v>883</v>
      </c>
      <c r="D77" s="138" t="s">
        <v>1295</v>
      </c>
    </row>
    <row r="78" spans="1:5" s="53" customFormat="1" ht="15" hidden="1" customHeight="1" x14ac:dyDescent="0.2">
      <c r="A78" s="146" t="s">
        <v>1022</v>
      </c>
      <c r="B78" s="78" t="s">
        <v>1305</v>
      </c>
      <c r="C78" s="144">
        <v>1</v>
      </c>
      <c r="D78" s="73">
        <f>C78</f>
        <v>1</v>
      </c>
    </row>
    <row r="79" spans="1:5" s="53" customFormat="1" ht="16.5" hidden="1" customHeight="1" x14ac:dyDescent="0.2">
      <c r="A79" s="146" t="s">
        <v>1079</v>
      </c>
      <c r="B79" s="78" t="s">
        <v>1306</v>
      </c>
      <c r="C79" s="145">
        <v>1</v>
      </c>
      <c r="D79" s="73">
        <f t="shared" ref="D79:D81" si="3">C79</f>
        <v>1</v>
      </c>
    </row>
    <row r="80" spans="1:5" s="53" customFormat="1" ht="15.75" hidden="1" customHeight="1" x14ac:dyDescent="0.2">
      <c r="A80" s="146" t="s">
        <v>1080</v>
      </c>
      <c r="B80" s="78" t="s">
        <v>1307</v>
      </c>
      <c r="C80" s="145">
        <v>1</v>
      </c>
      <c r="D80" s="73">
        <f t="shared" si="3"/>
        <v>1</v>
      </c>
    </row>
    <row r="81" spans="1:5" s="53" customFormat="1" ht="16.5" hidden="1" customHeight="1" x14ac:dyDescent="0.2">
      <c r="A81" s="147" t="s">
        <v>1302</v>
      </c>
      <c r="B81" s="88" t="s">
        <v>1308</v>
      </c>
      <c r="C81" s="145">
        <v>1</v>
      </c>
      <c r="D81" s="73">
        <f t="shared" si="3"/>
        <v>1</v>
      </c>
    </row>
    <row r="82" spans="1:5" s="53" customFormat="1" ht="16.5" hidden="1" customHeight="1" x14ac:dyDescent="0.2">
      <c r="A82" s="210" t="s">
        <v>975</v>
      </c>
      <c r="B82" s="211"/>
      <c r="C82" s="211"/>
      <c r="D82" s="50">
        <f>SUM(D78:D81)</f>
        <v>4</v>
      </c>
    </row>
    <row r="83" spans="1:5" s="53" customFormat="1" ht="14.25" hidden="1" customHeight="1" x14ac:dyDescent="0.2">
      <c r="A83" s="210" t="s">
        <v>978</v>
      </c>
      <c r="B83" s="211"/>
      <c r="C83" s="211"/>
      <c r="D83" s="50">
        <v>9</v>
      </c>
    </row>
    <row r="84" spans="1:5" s="53" customFormat="1" ht="14.25" hidden="1" customHeight="1" x14ac:dyDescent="0.2">
      <c r="A84" s="210" t="s">
        <v>976</v>
      </c>
      <c r="B84" s="211"/>
      <c r="C84" s="211"/>
      <c r="D84" s="50">
        <v>0</v>
      </c>
    </row>
    <row r="85" spans="1:5" hidden="1" x14ac:dyDescent="0.2">
      <c r="A85" s="212" t="s">
        <v>977</v>
      </c>
      <c r="B85" s="213"/>
      <c r="C85" s="213"/>
      <c r="D85" s="72">
        <f>D82-D84</f>
        <v>4</v>
      </c>
    </row>
    <row r="86" spans="1:5" hidden="1" x14ac:dyDescent="0.2">
      <c r="A86" s="34"/>
      <c r="D86" s="36"/>
    </row>
    <row r="87" spans="1:5" s="43" customFormat="1" ht="32.25" hidden="1" customHeight="1" x14ac:dyDescent="0.2">
      <c r="A87" s="45" t="s">
        <v>979</v>
      </c>
      <c r="B87" s="214" t="s">
        <v>500</v>
      </c>
      <c r="C87" s="214"/>
      <c r="D87" s="214"/>
      <c r="E87" s="71" t="s">
        <v>865</v>
      </c>
    </row>
    <row r="88" spans="1:5" s="139" customFormat="1" ht="14.25" hidden="1" x14ac:dyDescent="0.2">
      <c r="A88" s="305" t="s">
        <v>821</v>
      </c>
      <c r="B88" s="306"/>
      <c r="C88" s="137" t="s">
        <v>883</v>
      </c>
      <c r="D88" s="138" t="s">
        <v>1295</v>
      </c>
    </row>
    <row r="89" spans="1:5" s="53" customFormat="1" ht="15" hidden="1" customHeight="1" x14ac:dyDescent="0.2">
      <c r="A89" s="146" t="s">
        <v>1022</v>
      </c>
      <c r="B89" s="78" t="s">
        <v>1305</v>
      </c>
      <c r="C89" s="144">
        <v>4</v>
      </c>
      <c r="D89" s="73">
        <f>C89</f>
        <v>4</v>
      </c>
    </row>
    <row r="90" spans="1:5" s="53" customFormat="1" ht="16.5" hidden="1" customHeight="1" x14ac:dyDescent="0.2">
      <c r="A90" s="146" t="s">
        <v>1079</v>
      </c>
      <c r="B90" s="78" t="s">
        <v>1306</v>
      </c>
      <c r="C90" s="145">
        <v>3</v>
      </c>
      <c r="D90" s="73">
        <f t="shared" ref="D90:D92" si="4">C90</f>
        <v>3</v>
      </c>
    </row>
    <row r="91" spans="1:5" s="53" customFormat="1" ht="15.75" hidden="1" customHeight="1" x14ac:dyDescent="0.2">
      <c r="A91" s="146" t="s">
        <v>1080</v>
      </c>
      <c r="B91" s="78" t="s">
        <v>1307</v>
      </c>
      <c r="C91" s="145">
        <v>3</v>
      </c>
      <c r="D91" s="73">
        <f t="shared" si="4"/>
        <v>3</v>
      </c>
    </row>
    <row r="92" spans="1:5" s="53" customFormat="1" ht="16.5" hidden="1" customHeight="1" x14ac:dyDescent="0.2">
      <c r="A92" s="147" t="s">
        <v>1302</v>
      </c>
      <c r="B92" s="88" t="s">
        <v>1308</v>
      </c>
      <c r="C92" s="145">
        <v>3</v>
      </c>
      <c r="D92" s="73">
        <f t="shared" si="4"/>
        <v>3</v>
      </c>
    </row>
    <row r="93" spans="1:5" s="53" customFormat="1" ht="16.5" hidden="1" customHeight="1" x14ac:dyDescent="0.2">
      <c r="A93" s="210" t="s">
        <v>980</v>
      </c>
      <c r="B93" s="211"/>
      <c r="C93" s="211"/>
      <c r="D93" s="50">
        <f>SUM(D89:D92)</f>
        <v>13</v>
      </c>
    </row>
    <row r="94" spans="1:5" s="53" customFormat="1" ht="14.25" hidden="1" customHeight="1" x14ac:dyDescent="0.2">
      <c r="A94" s="210" t="s">
        <v>981</v>
      </c>
      <c r="B94" s="211"/>
      <c r="C94" s="211"/>
      <c r="D94" s="50">
        <v>5</v>
      </c>
    </row>
    <row r="95" spans="1:5" s="53" customFormat="1" ht="14.25" hidden="1" customHeight="1" x14ac:dyDescent="0.2">
      <c r="A95" s="210" t="s">
        <v>982</v>
      </c>
      <c r="B95" s="211"/>
      <c r="C95" s="211"/>
      <c r="D95" s="50">
        <v>0</v>
      </c>
    </row>
    <row r="96" spans="1:5" hidden="1" x14ac:dyDescent="0.2">
      <c r="A96" s="212" t="s">
        <v>983</v>
      </c>
      <c r="B96" s="213"/>
      <c r="C96" s="213"/>
      <c r="D96" s="72">
        <v>5</v>
      </c>
    </row>
    <row r="97" spans="1:5" hidden="1" x14ac:dyDescent="0.2">
      <c r="A97" s="241" t="s">
        <v>984</v>
      </c>
      <c r="B97" s="242"/>
      <c r="C97" s="242"/>
      <c r="D97" s="92">
        <f>D94-D93</f>
        <v>-8</v>
      </c>
    </row>
    <row r="98" spans="1:5" hidden="1" x14ac:dyDescent="0.2">
      <c r="A98" s="34"/>
      <c r="D98" s="36"/>
    </row>
    <row r="99" spans="1:5" s="43" customFormat="1" ht="32.25" hidden="1" customHeight="1" x14ac:dyDescent="0.2">
      <c r="A99" s="45" t="s">
        <v>1309</v>
      </c>
      <c r="B99" s="214" t="s">
        <v>508</v>
      </c>
      <c r="C99" s="214"/>
      <c r="D99" s="214"/>
      <c r="E99" s="71" t="s">
        <v>865</v>
      </c>
    </row>
    <row r="100" spans="1:5" s="139" customFormat="1" ht="14.25" hidden="1" x14ac:dyDescent="0.2">
      <c r="A100" s="305" t="s">
        <v>821</v>
      </c>
      <c r="B100" s="306"/>
      <c r="C100" s="137" t="s">
        <v>883</v>
      </c>
      <c r="D100" s="138" t="s">
        <v>1295</v>
      </c>
    </row>
    <row r="101" spans="1:5" s="53" customFormat="1" ht="15" hidden="1" customHeight="1" x14ac:dyDescent="0.2">
      <c r="A101" s="146" t="s">
        <v>1022</v>
      </c>
      <c r="B101" s="78" t="s">
        <v>1305</v>
      </c>
      <c r="C101" s="144">
        <v>1</v>
      </c>
      <c r="D101" s="73">
        <f>C101</f>
        <v>1</v>
      </c>
    </row>
    <row r="102" spans="1:5" s="53" customFormat="1" ht="16.5" hidden="1" customHeight="1" x14ac:dyDescent="0.2">
      <c r="A102" s="146" t="s">
        <v>1079</v>
      </c>
      <c r="B102" s="78" t="s">
        <v>1306</v>
      </c>
      <c r="C102" s="145">
        <v>1</v>
      </c>
      <c r="D102" s="73">
        <f t="shared" ref="D102:D104" si="5">C102</f>
        <v>1</v>
      </c>
    </row>
    <row r="103" spans="1:5" s="53" customFormat="1" ht="15.75" hidden="1" customHeight="1" x14ac:dyDescent="0.2">
      <c r="A103" s="146" t="s">
        <v>1080</v>
      </c>
      <c r="B103" s="78" t="s">
        <v>1307</v>
      </c>
      <c r="C103" s="145">
        <v>1</v>
      </c>
      <c r="D103" s="73">
        <f t="shared" si="5"/>
        <v>1</v>
      </c>
    </row>
    <row r="104" spans="1:5" s="53" customFormat="1" ht="16.5" hidden="1" customHeight="1" x14ac:dyDescent="0.2">
      <c r="A104" s="147" t="s">
        <v>1302</v>
      </c>
      <c r="B104" s="88" t="s">
        <v>1308</v>
      </c>
      <c r="C104" s="145">
        <v>1</v>
      </c>
      <c r="D104" s="73">
        <f t="shared" si="5"/>
        <v>1</v>
      </c>
    </row>
    <row r="105" spans="1:5" s="53" customFormat="1" ht="15" hidden="1" customHeight="1" x14ac:dyDescent="0.2">
      <c r="A105" s="210" t="s">
        <v>985</v>
      </c>
      <c r="B105" s="211"/>
      <c r="C105" s="211"/>
      <c r="D105" s="50">
        <f>SUM(D101:D104)</f>
        <v>4</v>
      </c>
    </row>
    <row r="106" spans="1:5" s="53" customFormat="1" ht="14.25" hidden="1" customHeight="1" x14ac:dyDescent="0.2">
      <c r="A106" s="210" t="s">
        <v>986</v>
      </c>
      <c r="B106" s="211"/>
      <c r="C106" s="211"/>
      <c r="D106" s="50">
        <v>12</v>
      </c>
    </row>
    <row r="107" spans="1:5" s="53" customFormat="1" ht="14.25" hidden="1" customHeight="1" x14ac:dyDescent="0.2">
      <c r="A107" s="210" t="s">
        <v>987</v>
      </c>
      <c r="B107" s="211"/>
      <c r="C107" s="211"/>
      <c r="D107" s="50">
        <v>0</v>
      </c>
    </row>
    <row r="108" spans="1:5" hidden="1" x14ac:dyDescent="0.2">
      <c r="A108" s="212" t="s">
        <v>988</v>
      </c>
      <c r="B108" s="213"/>
      <c r="C108" s="213"/>
      <c r="D108" s="72">
        <f>D105</f>
        <v>4</v>
      </c>
    </row>
    <row r="109" spans="1:5" hidden="1" x14ac:dyDescent="0.2">
      <c r="A109" s="34"/>
      <c r="D109" s="36"/>
    </row>
    <row r="110" spans="1:5" s="43" customFormat="1" ht="32.25" hidden="1" customHeight="1" x14ac:dyDescent="0.2">
      <c r="A110" s="45" t="s">
        <v>509</v>
      </c>
      <c r="B110" s="214" t="s">
        <v>510</v>
      </c>
      <c r="C110" s="214"/>
      <c r="D110" s="214"/>
      <c r="E110" s="71" t="s">
        <v>865</v>
      </c>
    </row>
    <row r="111" spans="1:5" s="139" customFormat="1" ht="14.25" hidden="1" x14ac:dyDescent="0.2">
      <c r="A111" s="305" t="s">
        <v>821</v>
      </c>
      <c r="B111" s="306"/>
      <c r="C111" s="137" t="s">
        <v>883</v>
      </c>
      <c r="D111" s="138" t="s">
        <v>1295</v>
      </c>
    </row>
    <row r="112" spans="1:5" s="53" customFormat="1" ht="15" hidden="1" customHeight="1" x14ac:dyDescent="0.2">
      <c r="A112" s="146" t="s">
        <v>1022</v>
      </c>
      <c r="B112" s="78" t="s">
        <v>1305</v>
      </c>
      <c r="C112" s="144">
        <v>3</v>
      </c>
      <c r="D112" s="73">
        <f>C112</f>
        <v>3</v>
      </c>
    </row>
    <row r="113" spans="1:5" s="53" customFormat="1" ht="16.5" hidden="1" customHeight="1" x14ac:dyDescent="0.2">
      <c r="A113" s="146" t="s">
        <v>1079</v>
      </c>
      <c r="B113" s="78" t="s">
        <v>1306</v>
      </c>
      <c r="C113" s="145">
        <v>3</v>
      </c>
      <c r="D113" s="73">
        <f t="shared" ref="D113:D115" si="6">C113</f>
        <v>3</v>
      </c>
    </row>
    <row r="114" spans="1:5" s="53" customFormat="1" ht="15.75" hidden="1" customHeight="1" x14ac:dyDescent="0.2">
      <c r="A114" s="146" t="s">
        <v>1080</v>
      </c>
      <c r="B114" s="78" t="s">
        <v>1307</v>
      </c>
      <c r="C114" s="145">
        <v>3</v>
      </c>
      <c r="D114" s="73">
        <f t="shared" si="6"/>
        <v>3</v>
      </c>
    </row>
    <row r="115" spans="1:5" s="53" customFormat="1" ht="16.5" hidden="1" customHeight="1" x14ac:dyDescent="0.2">
      <c r="A115" s="147" t="s">
        <v>1302</v>
      </c>
      <c r="B115" s="88" t="s">
        <v>1308</v>
      </c>
      <c r="C115" s="145">
        <v>3</v>
      </c>
      <c r="D115" s="73">
        <f t="shared" si="6"/>
        <v>3</v>
      </c>
    </row>
    <row r="116" spans="1:5" s="53" customFormat="1" ht="15" hidden="1" customHeight="1" x14ac:dyDescent="0.2">
      <c r="A116" s="210" t="s">
        <v>989</v>
      </c>
      <c r="B116" s="211"/>
      <c r="C116" s="211"/>
      <c r="D116" s="50">
        <f>SUM(D112:D115)</f>
        <v>12</v>
      </c>
    </row>
    <row r="117" spans="1:5" s="53" customFormat="1" ht="14.25" hidden="1" customHeight="1" x14ac:dyDescent="0.2">
      <c r="A117" s="210" t="s">
        <v>990</v>
      </c>
      <c r="B117" s="211"/>
      <c r="C117" s="211"/>
      <c r="D117" s="50">
        <v>1</v>
      </c>
    </row>
    <row r="118" spans="1:5" s="53" customFormat="1" ht="14.25" hidden="1" customHeight="1" x14ac:dyDescent="0.2">
      <c r="A118" s="210" t="s">
        <v>991</v>
      </c>
      <c r="B118" s="211"/>
      <c r="C118" s="211"/>
      <c r="D118" s="50">
        <v>0</v>
      </c>
    </row>
    <row r="119" spans="1:5" hidden="1" x14ac:dyDescent="0.2">
      <c r="A119" s="212" t="s">
        <v>992</v>
      </c>
      <c r="B119" s="213"/>
      <c r="C119" s="213"/>
      <c r="D119" s="72">
        <f>D116</f>
        <v>12</v>
      </c>
    </row>
    <row r="120" spans="1:5" hidden="1" x14ac:dyDescent="0.2">
      <c r="A120" s="241" t="s">
        <v>984</v>
      </c>
      <c r="B120" s="242"/>
      <c r="C120" s="242"/>
      <c r="D120" s="92">
        <f>D117-D116</f>
        <v>-11</v>
      </c>
    </row>
    <row r="121" spans="1:5" hidden="1" x14ac:dyDescent="0.2">
      <c r="A121" s="34"/>
      <c r="D121" s="36"/>
    </row>
    <row r="122" spans="1:5" s="43" customFormat="1" ht="24" customHeight="1" x14ac:dyDescent="0.2">
      <c r="A122" s="44" t="s">
        <v>1595</v>
      </c>
      <c r="B122" s="221" t="s">
        <v>569</v>
      </c>
      <c r="C122" s="221"/>
      <c r="D122" s="221"/>
      <c r="E122" s="71" t="s">
        <v>865</v>
      </c>
    </row>
    <row r="123" spans="1:5" s="43" customFormat="1" ht="37.5" customHeight="1" x14ac:dyDescent="0.2">
      <c r="A123" s="45" t="s">
        <v>1596</v>
      </c>
      <c r="B123" s="214" t="s">
        <v>577</v>
      </c>
      <c r="C123" s="214"/>
      <c r="D123" s="214"/>
      <c r="E123" s="71" t="s">
        <v>865</v>
      </c>
    </row>
    <row r="124" spans="1:5" s="139" customFormat="1" ht="14.25" x14ac:dyDescent="0.2">
      <c r="A124" s="305" t="s">
        <v>821</v>
      </c>
      <c r="B124" s="306"/>
      <c r="C124" s="137" t="s">
        <v>883</v>
      </c>
      <c r="D124" s="138" t="s">
        <v>1295</v>
      </c>
    </row>
    <row r="125" spans="1:5" s="53" customFormat="1" ht="15" customHeight="1" x14ac:dyDescent="0.2">
      <c r="A125" s="146" t="s">
        <v>1492</v>
      </c>
      <c r="B125" s="78"/>
      <c r="C125" s="144">
        <v>1</v>
      </c>
      <c r="D125" s="73">
        <f>C125</f>
        <v>1</v>
      </c>
    </row>
    <row r="126" spans="1:5" s="53" customFormat="1" ht="15.75" customHeight="1" x14ac:dyDescent="0.2">
      <c r="A126" s="146"/>
      <c r="B126" s="78"/>
      <c r="C126" s="144"/>
      <c r="D126" s="73"/>
    </row>
    <row r="127" spans="1:5" s="53" customFormat="1" ht="16.5" customHeight="1" x14ac:dyDescent="0.2">
      <c r="A127" s="210" t="s">
        <v>1597</v>
      </c>
      <c r="B127" s="211"/>
      <c r="C127" s="211"/>
      <c r="D127" s="50">
        <f>SUM(D125:D126)</f>
        <v>1</v>
      </c>
    </row>
    <row r="128" spans="1:5" s="53" customFormat="1" ht="14.25" customHeight="1" x14ac:dyDescent="0.2">
      <c r="A128" s="210" t="s">
        <v>1598</v>
      </c>
      <c r="B128" s="211"/>
      <c r="C128" s="211"/>
      <c r="D128" s="50">
        <v>1</v>
      </c>
    </row>
    <row r="129" spans="1:5" s="53" customFormat="1" ht="14.25" customHeight="1" x14ac:dyDescent="0.2">
      <c r="A129" s="210" t="s">
        <v>1599</v>
      </c>
      <c r="B129" s="211"/>
      <c r="C129" s="211"/>
      <c r="D129" s="50">
        <v>0</v>
      </c>
    </row>
    <row r="130" spans="1:5" x14ac:dyDescent="0.2">
      <c r="A130" s="212" t="s">
        <v>1600</v>
      </c>
      <c r="B130" s="213"/>
      <c r="C130" s="213"/>
      <c r="D130" s="72">
        <f>D127</f>
        <v>1</v>
      </c>
    </row>
    <row r="132" spans="1:5" s="43" customFormat="1" ht="24" customHeight="1" x14ac:dyDescent="0.2">
      <c r="A132" s="44" t="s">
        <v>999</v>
      </c>
      <c r="B132" s="221" t="s">
        <v>613</v>
      </c>
      <c r="C132" s="221"/>
      <c r="D132" s="221"/>
      <c r="E132" s="71" t="s">
        <v>865</v>
      </c>
    </row>
    <row r="133" spans="1:5" s="43" customFormat="1" ht="22.5" customHeight="1" x14ac:dyDescent="0.2">
      <c r="A133" s="45" t="s">
        <v>1537</v>
      </c>
      <c r="B133" s="214" t="s">
        <v>627</v>
      </c>
      <c r="C133" s="214"/>
      <c r="D133" s="214"/>
      <c r="E133" s="71" t="s">
        <v>865</v>
      </c>
    </row>
    <row r="134" spans="1:5" s="139" customFormat="1" ht="14.25" x14ac:dyDescent="0.2">
      <c r="A134" s="305" t="s">
        <v>821</v>
      </c>
      <c r="B134" s="306"/>
      <c r="C134" s="137" t="s">
        <v>1303</v>
      </c>
      <c r="D134" s="138" t="s">
        <v>1091</v>
      </c>
    </row>
    <row r="135" spans="1:5" s="53" customFormat="1" ht="15" customHeight="1" x14ac:dyDescent="0.2">
      <c r="A135" s="146" t="s">
        <v>1530</v>
      </c>
      <c r="B135" s="78"/>
      <c r="C135" s="144">
        <v>10.3</v>
      </c>
      <c r="D135" s="73">
        <f>C135</f>
        <v>10.3</v>
      </c>
    </row>
    <row r="136" spans="1:5" s="53" customFormat="1" ht="15.75" customHeight="1" x14ac:dyDescent="0.2">
      <c r="A136" s="146"/>
      <c r="B136" s="78"/>
      <c r="C136" s="144"/>
      <c r="D136" s="73"/>
    </row>
    <row r="137" spans="1:5" s="53" customFormat="1" ht="16.5" customHeight="1" x14ac:dyDescent="0.2">
      <c r="A137" s="210" t="s">
        <v>1538</v>
      </c>
      <c r="B137" s="211"/>
      <c r="C137" s="211"/>
      <c r="D137" s="50">
        <f>SUM(D135:D136)</f>
        <v>10.3</v>
      </c>
    </row>
    <row r="138" spans="1:5" s="53" customFormat="1" ht="14.25" customHeight="1" x14ac:dyDescent="0.2">
      <c r="A138" s="210" t="s">
        <v>1539</v>
      </c>
      <c r="B138" s="211"/>
      <c r="C138" s="211"/>
      <c r="D138" s="50">
        <v>10.3</v>
      </c>
    </row>
    <row r="139" spans="1:5" s="53" customFormat="1" ht="14.25" customHeight="1" x14ac:dyDescent="0.2">
      <c r="A139" s="210" t="s">
        <v>1540</v>
      </c>
      <c r="B139" s="211"/>
      <c r="C139" s="211"/>
      <c r="D139" s="50">
        <v>0</v>
      </c>
    </row>
    <row r="140" spans="1:5" x14ac:dyDescent="0.2">
      <c r="A140" s="212" t="s">
        <v>1541</v>
      </c>
      <c r="B140" s="213"/>
      <c r="C140" s="213"/>
      <c r="D140" s="72">
        <f>D137</f>
        <v>10.3</v>
      </c>
    </row>
    <row r="142" spans="1:5" s="43" customFormat="1" ht="22.5" customHeight="1" x14ac:dyDescent="0.2">
      <c r="A142" s="45" t="s">
        <v>1716</v>
      </c>
      <c r="B142" s="214" t="s">
        <v>637</v>
      </c>
      <c r="C142" s="214"/>
      <c r="D142" s="214"/>
      <c r="E142" s="71" t="s">
        <v>865</v>
      </c>
    </row>
    <row r="143" spans="1:5" s="139" customFormat="1" ht="14.25" x14ac:dyDescent="0.2">
      <c r="A143" s="305" t="s">
        <v>821</v>
      </c>
      <c r="B143" s="306"/>
      <c r="C143" s="137" t="s">
        <v>1303</v>
      </c>
      <c r="D143" s="138" t="s">
        <v>1091</v>
      </c>
    </row>
    <row r="144" spans="1:5" s="53" customFormat="1" ht="15" customHeight="1" x14ac:dyDescent="0.2">
      <c r="A144" s="146" t="s">
        <v>1530</v>
      </c>
      <c r="B144" s="78"/>
      <c r="C144" s="144">
        <v>887.88</v>
      </c>
      <c r="D144" s="73">
        <f>C144</f>
        <v>887.88</v>
      </c>
    </row>
    <row r="145" spans="1:4" s="53" customFormat="1" ht="15.75" customHeight="1" x14ac:dyDescent="0.2">
      <c r="A145" s="146"/>
      <c r="B145" s="78"/>
      <c r="C145" s="144"/>
      <c r="D145" s="73"/>
    </row>
    <row r="146" spans="1:4" s="53" customFormat="1" ht="16.5" customHeight="1" x14ac:dyDescent="0.2">
      <c r="A146" s="210" t="s">
        <v>1717</v>
      </c>
      <c r="B146" s="211"/>
      <c r="C146" s="211"/>
      <c r="D146" s="50">
        <f>SUM(D144:D145)</f>
        <v>887.88</v>
      </c>
    </row>
    <row r="147" spans="1:4" s="53" customFormat="1" ht="14.25" customHeight="1" x14ac:dyDescent="0.2">
      <c r="A147" s="210" t="s">
        <v>1718</v>
      </c>
      <c r="B147" s="211"/>
      <c r="C147" s="211"/>
      <c r="D147" s="50">
        <v>2669.7</v>
      </c>
    </row>
    <row r="148" spans="1:4" s="53" customFormat="1" ht="14.25" customHeight="1" x14ac:dyDescent="0.2">
      <c r="A148" s="210" t="s">
        <v>1719</v>
      </c>
      <c r="B148" s="211"/>
      <c r="C148" s="211"/>
      <c r="D148" s="50">
        <v>0</v>
      </c>
    </row>
    <row r="149" spans="1:4" x14ac:dyDescent="0.2">
      <c r="A149" s="212" t="s">
        <v>1720</v>
      </c>
      <c r="B149" s="213"/>
      <c r="C149" s="213"/>
      <c r="D149" s="72">
        <f>D146</f>
        <v>887.88</v>
      </c>
    </row>
  </sheetData>
  <mergeCells count="85">
    <mergeCell ref="A130:C130"/>
    <mergeCell ref="A127:C127"/>
    <mergeCell ref="A119:C119"/>
    <mergeCell ref="A120:C120"/>
    <mergeCell ref="B132:D132"/>
    <mergeCell ref="B123:D123"/>
    <mergeCell ref="A124:B124"/>
    <mergeCell ref="B122:D122"/>
    <mergeCell ref="B133:D133"/>
    <mergeCell ref="A134:B134"/>
    <mergeCell ref="A137:C137"/>
    <mergeCell ref="A138:C138"/>
    <mergeCell ref="A139:C139"/>
    <mergeCell ref="A116:C116"/>
    <mergeCell ref="A58:C58"/>
    <mergeCell ref="A128:C128"/>
    <mergeCell ref="A129:C129"/>
    <mergeCell ref="A118:C118"/>
    <mergeCell ref="A97:C97"/>
    <mergeCell ref="B99:D99"/>
    <mergeCell ref="A100:B100"/>
    <mergeCell ref="A105:C105"/>
    <mergeCell ref="A106:C106"/>
    <mergeCell ref="A117:C117"/>
    <mergeCell ref="A96:C96"/>
    <mergeCell ref="B76:D76"/>
    <mergeCell ref="A77:B77"/>
    <mergeCell ref="B54:D54"/>
    <mergeCell ref="A108:C108"/>
    <mergeCell ref="B110:D110"/>
    <mergeCell ref="B75:D75"/>
    <mergeCell ref="A59:C59"/>
    <mergeCell ref="A60:C60"/>
    <mergeCell ref="A61:C61"/>
    <mergeCell ref="A62:B62"/>
    <mergeCell ref="B63:D63"/>
    <mergeCell ref="B64:D64"/>
    <mergeCell ref="A65:B65"/>
    <mergeCell ref="A70:C70"/>
    <mergeCell ref="A71:C71"/>
    <mergeCell ref="A72:C72"/>
    <mergeCell ref="A73:C73"/>
    <mergeCell ref="A88:B88"/>
    <mergeCell ref="A49:C49"/>
    <mergeCell ref="A50:C50"/>
    <mergeCell ref="A51:C51"/>
    <mergeCell ref="A52:C52"/>
    <mergeCell ref="A53:C53"/>
    <mergeCell ref="A11:D11"/>
    <mergeCell ref="B13:D13"/>
    <mergeCell ref="B44:D44"/>
    <mergeCell ref="B45:D45"/>
    <mergeCell ref="A46:B46"/>
    <mergeCell ref="A143:B143"/>
    <mergeCell ref="A146:C146"/>
    <mergeCell ref="A147:C147"/>
    <mergeCell ref="A148:C148"/>
    <mergeCell ref="A55:B55"/>
    <mergeCell ref="A93:C93"/>
    <mergeCell ref="A94:C94"/>
    <mergeCell ref="A95:C95"/>
    <mergeCell ref="A107:C107"/>
    <mergeCell ref="A82:C82"/>
    <mergeCell ref="A83:C83"/>
    <mergeCell ref="A84:C84"/>
    <mergeCell ref="A85:C85"/>
    <mergeCell ref="B87:D87"/>
    <mergeCell ref="A140:C140"/>
    <mergeCell ref="A111:B111"/>
    <mergeCell ref="A149:C149"/>
    <mergeCell ref="B14:D14"/>
    <mergeCell ref="B15:D15"/>
    <mergeCell ref="A16:B16"/>
    <mergeCell ref="A25:C25"/>
    <mergeCell ref="A26:C26"/>
    <mergeCell ref="A27:C27"/>
    <mergeCell ref="A28:C28"/>
    <mergeCell ref="A29:C29"/>
    <mergeCell ref="B30:D30"/>
    <mergeCell ref="A31:B31"/>
    <mergeCell ref="A40:C40"/>
    <mergeCell ref="A41:C41"/>
    <mergeCell ref="A42:C42"/>
    <mergeCell ref="A43:B43"/>
    <mergeCell ref="B142:D142"/>
  </mergeCells>
  <printOptions horizontalCentered="1"/>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DBE1D-F1D6-4FCF-BAEF-F8DBB8902CE3}">
  <sheetPr>
    <tabColor theme="4"/>
  </sheetPr>
  <dimension ref="A1:F22"/>
  <sheetViews>
    <sheetView tabSelected="1" view="pageBreakPreview" zoomScale="90" zoomScaleNormal="95" zoomScaleSheetLayoutView="90" workbookViewId="0">
      <selection activeCell="J17" sqref="J17"/>
    </sheetView>
  </sheetViews>
  <sheetFormatPr defaultColWidth="9" defaultRowHeight="12.75" x14ac:dyDescent="0.2"/>
  <cols>
    <col min="1" max="1" width="19.5" style="35" customWidth="1"/>
    <col min="2" max="2" width="14" style="35" customWidth="1"/>
    <col min="3" max="3" width="19" style="35"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1313</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248" t="s">
        <v>1314</v>
      </c>
      <c r="B11" s="249"/>
      <c r="C11" s="249"/>
      <c r="D11" s="249"/>
      <c r="E11" s="250"/>
    </row>
    <row r="12" spans="1:6" x14ac:dyDescent="0.2">
      <c r="A12" s="34"/>
      <c r="E12" s="36"/>
    </row>
    <row r="13" spans="1:6" ht="17.25" customHeight="1" x14ac:dyDescent="0.2">
      <c r="A13" s="44" t="s">
        <v>1089</v>
      </c>
      <c r="B13" s="221" t="s">
        <v>653</v>
      </c>
      <c r="C13" s="221"/>
      <c r="D13" s="221"/>
      <c r="E13" s="221"/>
    </row>
    <row r="14" spans="1:6" s="43" customFormat="1" ht="42" customHeight="1" x14ac:dyDescent="0.2">
      <c r="A14" s="45" t="s">
        <v>1097</v>
      </c>
      <c r="B14" s="214" t="s">
        <v>661</v>
      </c>
      <c r="C14" s="214"/>
      <c r="D14" s="214"/>
      <c r="E14" s="214"/>
      <c r="F14" s="71"/>
    </row>
    <row r="15" spans="1:6" s="53" customFormat="1" ht="16.5" customHeight="1" x14ac:dyDescent="0.2">
      <c r="A15" s="281"/>
      <c r="B15" s="282"/>
      <c r="C15" s="78"/>
      <c r="D15" s="84"/>
      <c r="E15" s="114" t="s">
        <v>1295</v>
      </c>
    </row>
    <row r="16" spans="1:6" s="53" customFormat="1" ht="27" customHeight="1" x14ac:dyDescent="0.2">
      <c r="A16" s="210" t="s">
        <v>1602</v>
      </c>
      <c r="B16" s="211"/>
      <c r="C16" s="211"/>
      <c r="D16" s="211"/>
      <c r="E16" s="73">
        <v>11</v>
      </c>
    </row>
    <row r="17" spans="1:5" s="53" customFormat="1" ht="16.5" customHeight="1" x14ac:dyDescent="0.2">
      <c r="A17" s="117"/>
      <c r="B17" s="118"/>
      <c r="C17" s="118"/>
      <c r="D17" s="118"/>
      <c r="E17" s="73"/>
    </row>
    <row r="18" spans="1:5" s="53" customFormat="1" ht="16.5" customHeight="1" x14ac:dyDescent="0.2">
      <c r="A18" s="210" t="s">
        <v>1098</v>
      </c>
      <c r="B18" s="211"/>
      <c r="C18" s="211"/>
      <c r="D18" s="211"/>
      <c r="E18" s="73">
        <f>SUM(E16:E16)</f>
        <v>11</v>
      </c>
    </row>
    <row r="19" spans="1:5" s="53" customFormat="1" ht="16.5" customHeight="1" x14ac:dyDescent="0.2">
      <c r="A19" s="210" t="s">
        <v>1601</v>
      </c>
      <c r="B19" s="211"/>
      <c r="C19" s="211"/>
      <c r="D19" s="211"/>
      <c r="E19" s="73">
        <v>11</v>
      </c>
    </row>
    <row r="20" spans="1:5" s="43" customFormat="1" ht="14.25" customHeight="1" x14ac:dyDescent="0.2">
      <c r="A20" s="210" t="s">
        <v>1702</v>
      </c>
      <c r="B20" s="211"/>
      <c r="C20" s="211"/>
      <c r="D20" s="211"/>
      <c r="E20" s="50">
        <v>7</v>
      </c>
    </row>
    <row r="21" spans="1:5" s="43" customFormat="1" ht="16.5" customHeight="1" x14ac:dyDescent="0.2">
      <c r="A21" s="212" t="s">
        <v>1703</v>
      </c>
      <c r="B21" s="213"/>
      <c r="C21" s="213"/>
      <c r="D21" s="213"/>
      <c r="E21" s="72">
        <f>E18-E20</f>
        <v>4</v>
      </c>
    </row>
    <row r="22" spans="1:5" ht="14.25" customHeight="1" x14ac:dyDescent="0.2">
      <c r="A22" s="228"/>
      <c r="B22" s="229"/>
      <c r="C22" s="82"/>
      <c r="D22" s="82"/>
      <c r="E22" s="83"/>
    </row>
  </sheetData>
  <mergeCells count="10">
    <mergeCell ref="A22:B22"/>
    <mergeCell ref="B14:E14"/>
    <mergeCell ref="A15:B15"/>
    <mergeCell ref="A16:D16"/>
    <mergeCell ref="A18:D18"/>
    <mergeCell ref="A11:E11"/>
    <mergeCell ref="B13:E13"/>
    <mergeCell ref="A19:D19"/>
    <mergeCell ref="A20:D20"/>
    <mergeCell ref="A21:D21"/>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960A-51C8-4898-A71D-DA16986117B9}">
  <sheetPr>
    <tabColor theme="4"/>
  </sheetPr>
  <dimension ref="A1:F31"/>
  <sheetViews>
    <sheetView view="pageBreakPreview" topLeftCell="A4" zoomScale="90" zoomScaleNormal="95" zoomScaleSheetLayoutView="90" workbookViewId="0">
      <selection activeCell="I30" sqref="I30"/>
    </sheetView>
  </sheetViews>
  <sheetFormatPr defaultColWidth="9" defaultRowHeight="12.75" x14ac:dyDescent="0.2"/>
  <cols>
    <col min="1" max="1" width="19.5" style="35" customWidth="1"/>
    <col min="2" max="2" width="14" style="35" customWidth="1"/>
    <col min="3" max="3" width="19" style="35"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ht="15" customHeight="1"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1313</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248" t="s">
        <v>1314</v>
      </c>
      <c r="B11" s="249"/>
      <c r="C11" s="249"/>
      <c r="D11" s="249"/>
      <c r="E11" s="250"/>
    </row>
    <row r="12" spans="1:6" x14ac:dyDescent="0.2">
      <c r="A12" s="34"/>
      <c r="E12" s="36"/>
    </row>
    <row r="13" spans="1:6" ht="17.25" customHeight="1" x14ac:dyDescent="0.2">
      <c r="A13" s="44" t="s">
        <v>1155</v>
      </c>
      <c r="B13" s="221" t="s">
        <v>713</v>
      </c>
      <c r="C13" s="221"/>
      <c r="D13" s="221"/>
      <c r="E13" s="221"/>
    </row>
    <row r="14" spans="1:6" s="43" customFormat="1" ht="21" customHeight="1" x14ac:dyDescent="0.2">
      <c r="A14" s="45" t="s">
        <v>1156</v>
      </c>
      <c r="B14" s="214" t="s">
        <v>715</v>
      </c>
      <c r="C14" s="214"/>
      <c r="D14" s="214"/>
      <c r="E14" s="214"/>
      <c r="F14" s="71"/>
    </row>
    <row r="15" spans="1:6" s="43" customFormat="1" ht="21" hidden="1" customHeight="1" x14ac:dyDescent="0.2">
      <c r="A15" s="45" t="s">
        <v>1252</v>
      </c>
      <c r="B15" s="214" t="s">
        <v>719</v>
      </c>
      <c r="C15" s="214"/>
      <c r="D15" s="214"/>
      <c r="E15" s="214"/>
      <c r="F15" s="71"/>
    </row>
    <row r="16" spans="1:6" s="53" customFormat="1" ht="16.5" hidden="1" customHeight="1" x14ac:dyDescent="0.2">
      <c r="A16" s="281"/>
      <c r="B16" s="282"/>
      <c r="C16" s="78"/>
      <c r="D16" s="84"/>
      <c r="E16" s="114" t="s">
        <v>1091</v>
      </c>
    </row>
    <row r="17" spans="1:6" s="53" customFormat="1" ht="17.25" hidden="1" customHeight="1" x14ac:dyDescent="0.2">
      <c r="A17" s="210" t="s">
        <v>1310</v>
      </c>
      <c r="B17" s="211"/>
      <c r="C17" s="211"/>
      <c r="D17" s="211"/>
      <c r="E17" s="73">
        <v>8380</v>
      </c>
    </row>
    <row r="18" spans="1:6" s="53" customFormat="1" ht="8.25" hidden="1" customHeight="1" x14ac:dyDescent="0.2">
      <c r="A18" s="117"/>
      <c r="B18" s="118"/>
      <c r="C18" s="118"/>
      <c r="D18" s="118"/>
      <c r="E18" s="73"/>
    </row>
    <row r="19" spans="1:6" s="53" customFormat="1" ht="16.5" hidden="1" customHeight="1" x14ac:dyDescent="0.2">
      <c r="A19" s="210" t="s">
        <v>1253</v>
      </c>
      <c r="B19" s="211"/>
      <c r="C19" s="211"/>
      <c r="D19" s="211"/>
      <c r="E19" s="73">
        <f>E17</f>
        <v>8380</v>
      </c>
    </row>
    <row r="20" spans="1:6" s="53" customFormat="1" ht="16.5" hidden="1" customHeight="1" x14ac:dyDescent="0.2">
      <c r="A20" s="210" t="s">
        <v>1254</v>
      </c>
      <c r="B20" s="211"/>
      <c r="C20" s="211"/>
      <c r="D20" s="211"/>
      <c r="E20" s="73">
        <v>20950</v>
      </c>
    </row>
    <row r="21" spans="1:6" s="43" customFormat="1" ht="14.25" hidden="1" customHeight="1" x14ac:dyDescent="0.2">
      <c r="A21" s="210" t="s">
        <v>1255</v>
      </c>
      <c r="B21" s="211"/>
      <c r="C21" s="211"/>
      <c r="D21" s="211"/>
      <c r="E21" s="50" t="s">
        <v>1311</v>
      </c>
    </row>
    <row r="22" spans="1:6" s="43" customFormat="1" ht="16.5" hidden="1" customHeight="1" x14ac:dyDescent="0.2">
      <c r="A22" s="212" t="s">
        <v>1256</v>
      </c>
      <c r="B22" s="213"/>
      <c r="C22" s="213"/>
      <c r="D22" s="213"/>
      <c r="E22" s="72">
        <f>E17</f>
        <v>8380</v>
      </c>
    </row>
    <row r="23" spans="1:6" s="43" customFormat="1" ht="21" customHeight="1" x14ac:dyDescent="0.2">
      <c r="A23" s="45" t="s">
        <v>1542</v>
      </c>
      <c r="B23" s="214" t="s">
        <v>726</v>
      </c>
      <c r="C23" s="214"/>
      <c r="D23" s="214"/>
      <c r="E23" s="214"/>
      <c r="F23" s="71"/>
    </row>
    <row r="24" spans="1:6" s="53" customFormat="1" ht="16.5" customHeight="1" x14ac:dyDescent="0.2">
      <c r="A24" s="281"/>
      <c r="B24" s="282"/>
      <c r="C24" s="78"/>
      <c r="D24" s="84"/>
      <c r="E24" s="114" t="s">
        <v>1091</v>
      </c>
    </row>
    <row r="25" spans="1:6" s="53" customFormat="1" ht="17.25" customHeight="1" x14ac:dyDescent="0.2">
      <c r="A25" s="210" t="s">
        <v>1543</v>
      </c>
      <c r="B25" s="211"/>
      <c r="C25" s="211"/>
      <c r="D25" s="211"/>
      <c r="E25" s="73">
        <v>360</v>
      </c>
    </row>
    <row r="26" spans="1:6" s="53" customFormat="1" ht="8.25" customHeight="1" x14ac:dyDescent="0.2">
      <c r="A26" s="117"/>
      <c r="B26" s="118"/>
      <c r="C26" s="118"/>
      <c r="D26" s="118"/>
      <c r="E26" s="73"/>
    </row>
    <row r="27" spans="1:6" s="53" customFormat="1" ht="16.5" customHeight="1" x14ac:dyDescent="0.2">
      <c r="A27" s="210" t="s">
        <v>1159</v>
      </c>
      <c r="B27" s="211"/>
      <c r="C27" s="211"/>
      <c r="D27" s="211"/>
      <c r="E27" s="73">
        <f>E25</f>
        <v>360</v>
      </c>
    </row>
    <row r="28" spans="1:6" s="53" customFormat="1" ht="16.5" customHeight="1" x14ac:dyDescent="0.2">
      <c r="A28" s="210" t="s">
        <v>1160</v>
      </c>
      <c r="B28" s="211"/>
      <c r="C28" s="211"/>
      <c r="D28" s="211"/>
      <c r="E28" s="73">
        <v>360</v>
      </c>
    </row>
    <row r="29" spans="1:6" s="43" customFormat="1" ht="14.25" customHeight="1" x14ac:dyDescent="0.2">
      <c r="A29" s="210" t="s">
        <v>1544</v>
      </c>
      <c r="B29" s="211"/>
      <c r="C29" s="211"/>
      <c r="D29" s="211"/>
      <c r="E29" s="50">
        <v>0</v>
      </c>
    </row>
    <row r="30" spans="1:6" s="43" customFormat="1" ht="16.5" customHeight="1" x14ac:dyDescent="0.2">
      <c r="A30" s="212" t="s">
        <v>1545</v>
      </c>
      <c r="B30" s="213"/>
      <c r="C30" s="213"/>
      <c r="D30" s="213"/>
      <c r="E30" s="72">
        <f>E25</f>
        <v>360</v>
      </c>
    </row>
    <row r="31" spans="1:6" ht="14.25" customHeight="1" x14ac:dyDescent="0.2">
      <c r="A31" s="228"/>
      <c r="B31" s="229"/>
      <c r="C31" s="82"/>
      <c r="D31" s="82"/>
      <c r="E31" s="83"/>
    </row>
  </sheetData>
  <mergeCells count="18">
    <mergeCell ref="A29:D29"/>
    <mergeCell ref="A30:D30"/>
    <mergeCell ref="A31:B31"/>
    <mergeCell ref="B23:E23"/>
    <mergeCell ref="A27:D27"/>
    <mergeCell ref="A28:D28"/>
    <mergeCell ref="A11:E11"/>
    <mergeCell ref="B13:E13"/>
    <mergeCell ref="B14:E14"/>
    <mergeCell ref="A24:B24"/>
    <mergeCell ref="A25:D25"/>
    <mergeCell ref="B15:E15"/>
    <mergeCell ref="A16:B16"/>
    <mergeCell ref="A17:D17"/>
    <mergeCell ref="A19:D19"/>
    <mergeCell ref="A20:D20"/>
    <mergeCell ref="A21:D21"/>
    <mergeCell ref="A22:D22"/>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1F9C9-ACEF-42FB-A109-1C0B14706897}">
  <dimension ref="A1:F652"/>
  <sheetViews>
    <sheetView view="pageBreakPreview" zoomScale="90" zoomScaleNormal="95" zoomScaleSheetLayoutView="90" workbookViewId="0">
      <selection activeCell="F461" sqref="F461"/>
    </sheetView>
  </sheetViews>
  <sheetFormatPr defaultColWidth="9" defaultRowHeight="12.75" x14ac:dyDescent="0.2"/>
  <cols>
    <col min="1" max="1" width="16.25" style="35" customWidth="1"/>
    <col min="2" max="2" width="17.125" style="35" customWidth="1"/>
    <col min="3" max="3" width="19.5" style="35" customWidth="1"/>
    <col min="4" max="4" width="21.625" style="35" customWidth="1"/>
    <col min="5" max="5" width="18"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8"/>
      <c r="B5" s="38"/>
      <c r="C5" s="39"/>
      <c r="D5" s="39"/>
      <c r="E5" s="58"/>
    </row>
    <row r="6" spans="1:6" x14ac:dyDescent="0.2">
      <c r="A6" s="38" t="s">
        <v>820</v>
      </c>
      <c r="B6" s="38"/>
      <c r="C6" s="39"/>
      <c r="D6" s="39"/>
      <c r="E6" s="58"/>
    </row>
    <row r="7" spans="1:6" x14ac:dyDescent="0.2">
      <c r="A7" s="38" t="s">
        <v>2</v>
      </c>
      <c r="B7" s="38"/>
      <c r="C7" s="39"/>
      <c r="D7" s="39"/>
      <c r="E7" s="58"/>
    </row>
    <row r="8" spans="1:6" x14ac:dyDescent="0.2">
      <c r="A8" s="38" t="s">
        <v>8</v>
      </c>
      <c r="B8" s="38"/>
      <c r="C8" s="39"/>
      <c r="D8" s="39"/>
      <c r="E8" s="58"/>
    </row>
    <row r="9" spans="1:6" x14ac:dyDescent="0.2">
      <c r="A9" s="37" t="s">
        <v>1313</v>
      </c>
      <c r="B9" s="38"/>
      <c r="C9" s="39"/>
      <c r="D9" s="39"/>
      <c r="E9" s="58"/>
    </row>
    <row r="10" spans="1:6" ht="13.5" thickBot="1" x14ac:dyDescent="0.25">
      <c r="A10" s="59"/>
      <c r="B10" s="59"/>
      <c r="C10" s="59"/>
      <c r="D10" s="59"/>
      <c r="E10" s="59"/>
    </row>
    <row r="11" spans="1:6" s="43" customFormat="1" ht="21" customHeight="1" thickBot="1" x14ac:dyDescent="0.25">
      <c r="A11" s="248" t="s">
        <v>1460</v>
      </c>
      <c r="B11" s="249"/>
      <c r="C11" s="249"/>
      <c r="D11" s="249"/>
      <c r="E11" s="250"/>
    </row>
    <row r="12" spans="1:6" x14ac:dyDescent="0.2">
      <c r="A12" s="34"/>
      <c r="E12" s="36"/>
    </row>
    <row r="13" spans="1:6" ht="17.25" customHeight="1" x14ac:dyDescent="0.2">
      <c r="A13" s="44" t="s">
        <v>826</v>
      </c>
      <c r="B13" s="221" t="s">
        <v>25</v>
      </c>
      <c r="C13" s="221"/>
      <c r="D13" s="221"/>
      <c r="E13" s="221"/>
    </row>
    <row r="14" spans="1:6" s="43" customFormat="1" ht="18.75" customHeight="1" x14ac:dyDescent="0.2">
      <c r="A14" s="45" t="s">
        <v>827</v>
      </c>
      <c r="B14" s="225" t="s">
        <v>27</v>
      </c>
      <c r="C14" s="226"/>
      <c r="D14" s="226"/>
      <c r="E14" s="227"/>
      <c r="F14" s="71" t="s">
        <v>865</v>
      </c>
    </row>
    <row r="15" spans="1:6" ht="15" customHeight="1" x14ac:dyDescent="0.2">
      <c r="A15" s="238" t="s">
        <v>829</v>
      </c>
      <c r="B15" s="238"/>
      <c r="C15" s="238"/>
      <c r="D15" s="215"/>
      <c r="E15" s="50">
        <v>1</v>
      </c>
    </row>
    <row r="16" spans="1:6" ht="15" customHeight="1" x14ac:dyDescent="0.2">
      <c r="A16" s="238" t="s">
        <v>830</v>
      </c>
      <c r="B16" s="238"/>
      <c r="C16" s="238"/>
      <c r="D16" s="215"/>
      <c r="E16" s="50">
        <v>11</v>
      </c>
    </row>
    <row r="17" spans="1:6" ht="15" customHeight="1" x14ac:dyDescent="0.2">
      <c r="A17" s="238" t="s">
        <v>1406</v>
      </c>
      <c r="B17" s="238"/>
      <c r="C17" s="238"/>
      <c r="D17" s="215"/>
      <c r="E17" s="50">
        <v>11</v>
      </c>
    </row>
    <row r="18" spans="1:6" ht="15" customHeight="1" x14ac:dyDescent="0.2">
      <c r="A18" s="236" t="s">
        <v>1405</v>
      </c>
      <c r="B18" s="236"/>
      <c r="C18" s="236"/>
      <c r="D18" s="219"/>
      <c r="E18" s="64">
        <v>1</v>
      </c>
    </row>
    <row r="19" spans="1:6" ht="15" customHeight="1" x14ac:dyDescent="0.2">
      <c r="A19" s="158"/>
      <c r="B19" s="159"/>
      <c r="C19" s="159"/>
      <c r="D19" s="159"/>
      <c r="E19" s="160"/>
    </row>
    <row r="20" spans="1:6" ht="17.25" customHeight="1" x14ac:dyDescent="0.2">
      <c r="A20" s="44" t="s">
        <v>1006</v>
      </c>
      <c r="B20" s="221" t="s">
        <v>61</v>
      </c>
      <c r="C20" s="221"/>
      <c r="D20" s="221"/>
      <c r="E20" s="221"/>
    </row>
    <row r="21" spans="1:6" ht="17.25" customHeight="1" x14ac:dyDescent="0.2">
      <c r="A21" s="44" t="s">
        <v>1007</v>
      </c>
      <c r="B21" s="221" t="s">
        <v>83</v>
      </c>
      <c r="C21" s="221"/>
      <c r="D21" s="221"/>
      <c r="E21" s="221"/>
    </row>
    <row r="22" spans="1:6" s="43" customFormat="1" ht="19.5" customHeight="1" x14ac:dyDescent="0.2">
      <c r="A22" s="45" t="s">
        <v>1316</v>
      </c>
      <c r="B22" s="214" t="s">
        <v>85</v>
      </c>
      <c r="C22" s="214"/>
      <c r="D22" s="214"/>
      <c r="E22" s="214"/>
    </row>
    <row r="23" spans="1:6" s="43" customFormat="1" ht="25.5" customHeight="1" x14ac:dyDescent="0.2">
      <c r="A23" s="45" t="s">
        <v>831</v>
      </c>
      <c r="B23" s="214" t="s">
        <v>710</v>
      </c>
      <c r="C23" s="214"/>
      <c r="D23" s="214"/>
      <c r="E23" s="214"/>
      <c r="F23" s="71" t="s">
        <v>865</v>
      </c>
    </row>
    <row r="24" spans="1:6" ht="15" customHeight="1" x14ac:dyDescent="0.2">
      <c r="A24" s="238" t="s">
        <v>1323</v>
      </c>
      <c r="B24" s="238"/>
      <c r="C24" s="238"/>
      <c r="D24" s="215"/>
      <c r="E24" s="50">
        <f>'4.0'!E20</f>
        <v>329.24</v>
      </c>
    </row>
    <row r="25" spans="1:6" ht="15" customHeight="1" x14ac:dyDescent="0.2">
      <c r="A25" s="238" t="s">
        <v>1324</v>
      </c>
      <c r="B25" s="238"/>
      <c r="C25" s="238"/>
      <c r="D25" s="215"/>
      <c r="E25" s="50">
        <v>227.83</v>
      </c>
    </row>
    <row r="26" spans="1:6" ht="15" customHeight="1" x14ac:dyDescent="0.2">
      <c r="A26" s="235" t="s">
        <v>1325</v>
      </c>
      <c r="B26" s="235"/>
      <c r="C26" s="235"/>
      <c r="D26" s="217"/>
      <c r="E26" s="98">
        <v>174.33</v>
      </c>
    </row>
    <row r="27" spans="1:6" ht="15" customHeight="1" x14ac:dyDescent="0.2">
      <c r="A27" s="236" t="s">
        <v>1403</v>
      </c>
      <c r="B27" s="236"/>
      <c r="C27" s="236"/>
      <c r="D27" s="219"/>
      <c r="E27" s="97">
        <f>E25-E26</f>
        <v>53.5</v>
      </c>
    </row>
    <row r="28" spans="1:6" ht="15" customHeight="1" x14ac:dyDescent="0.2">
      <c r="A28" s="237" t="s">
        <v>1404</v>
      </c>
      <c r="B28" s="237"/>
      <c r="C28" s="237"/>
      <c r="D28" s="233"/>
      <c r="E28" s="96">
        <f>E25-E24</f>
        <v>-101.41</v>
      </c>
    </row>
    <row r="29" spans="1:6" x14ac:dyDescent="0.2">
      <c r="A29" s="34"/>
      <c r="E29" s="36"/>
    </row>
    <row r="30" spans="1:6" s="43" customFormat="1" ht="39.75" customHeight="1" x14ac:dyDescent="0.2">
      <c r="A30" s="45" t="s">
        <v>836</v>
      </c>
      <c r="B30" s="214" t="s">
        <v>1401</v>
      </c>
      <c r="C30" s="214"/>
      <c r="D30" s="214"/>
      <c r="E30" s="214"/>
      <c r="F30" s="71" t="s">
        <v>865</v>
      </c>
    </row>
    <row r="31" spans="1:6" ht="15" customHeight="1" x14ac:dyDescent="0.2">
      <c r="A31" s="238" t="s">
        <v>1333</v>
      </c>
      <c r="B31" s="238"/>
      <c r="C31" s="238"/>
      <c r="D31" s="215"/>
      <c r="E31" s="50">
        <f>'4.0'!E33</f>
        <v>31.8064</v>
      </c>
    </row>
    <row r="32" spans="1:6" ht="15" customHeight="1" x14ac:dyDescent="0.2">
      <c r="A32" s="238" t="s">
        <v>1334</v>
      </c>
      <c r="B32" s="238"/>
      <c r="C32" s="238"/>
      <c r="D32" s="215"/>
      <c r="E32" s="50">
        <v>29.92</v>
      </c>
    </row>
    <row r="33" spans="1:6" ht="15" customHeight="1" x14ac:dyDescent="0.2">
      <c r="A33" s="235" t="s">
        <v>1335</v>
      </c>
      <c r="B33" s="235"/>
      <c r="C33" s="235"/>
      <c r="D33" s="217"/>
      <c r="E33" s="98">
        <v>20</v>
      </c>
    </row>
    <row r="34" spans="1:6" ht="15" customHeight="1" x14ac:dyDescent="0.2">
      <c r="A34" s="236" t="s">
        <v>1403</v>
      </c>
      <c r="B34" s="236"/>
      <c r="C34" s="236"/>
      <c r="D34" s="219"/>
      <c r="E34" s="97">
        <f>E32-E33</f>
        <v>9.9200000000000017</v>
      </c>
    </row>
    <row r="35" spans="1:6" ht="15" customHeight="1" x14ac:dyDescent="0.2">
      <c r="A35" s="237" t="s">
        <v>1404</v>
      </c>
      <c r="B35" s="237"/>
      <c r="C35" s="237"/>
      <c r="D35" s="233"/>
      <c r="E35" s="96">
        <f>E32-E31</f>
        <v>-1.8863999999999983</v>
      </c>
    </row>
    <row r="36" spans="1:6" x14ac:dyDescent="0.2">
      <c r="A36" s="34"/>
      <c r="E36" s="36"/>
    </row>
    <row r="37" spans="1:6" s="43" customFormat="1" ht="19.5" customHeight="1" x14ac:dyDescent="0.2">
      <c r="A37" s="45" t="s">
        <v>1008</v>
      </c>
      <c r="B37" s="214" t="s">
        <v>91</v>
      </c>
      <c r="C37" s="214"/>
      <c r="D37" s="214"/>
      <c r="E37" s="214"/>
    </row>
    <row r="38" spans="1:6" s="43" customFormat="1" ht="39.75" customHeight="1" x14ac:dyDescent="0.2">
      <c r="A38" s="45" t="s">
        <v>1337</v>
      </c>
      <c r="B38" s="214" t="s">
        <v>95</v>
      </c>
      <c r="C38" s="214"/>
      <c r="D38" s="214"/>
      <c r="E38" s="214"/>
      <c r="F38" s="71" t="s">
        <v>865</v>
      </c>
    </row>
    <row r="39" spans="1:6" ht="15" customHeight="1" x14ac:dyDescent="0.2">
      <c r="A39" s="238" t="s">
        <v>1349</v>
      </c>
      <c r="B39" s="238"/>
      <c r="C39" s="238"/>
      <c r="D39" s="215"/>
      <c r="E39" s="50">
        <f>'4.0'!E52</f>
        <v>162.87799999999999</v>
      </c>
    </row>
    <row r="40" spans="1:6" ht="15" customHeight="1" x14ac:dyDescent="0.2">
      <c r="A40" s="238" t="s">
        <v>1350</v>
      </c>
      <c r="B40" s="238"/>
      <c r="C40" s="238"/>
      <c r="D40" s="215"/>
      <c r="E40" s="50">
        <v>162.88</v>
      </c>
    </row>
    <row r="41" spans="1:6" ht="15" customHeight="1" x14ac:dyDescent="0.2">
      <c r="A41" s="235" t="s">
        <v>1402</v>
      </c>
      <c r="B41" s="235"/>
      <c r="C41" s="235"/>
      <c r="D41" s="217"/>
      <c r="E41" s="98">
        <v>155.19999999999999</v>
      </c>
    </row>
    <row r="42" spans="1:6" ht="15" customHeight="1" x14ac:dyDescent="0.2">
      <c r="A42" s="236" t="s">
        <v>1352</v>
      </c>
      <c r="B42" s="236"/>
      <c r="C42" s="236"/>
      <c r="D42" s="219"/>
      <c r="E42" s="97">
        <v>7.67</v>
      </c>
    </row>
    <row r="43" spans="1:6" x14ac:dyDescent="0.2">
      <c r="A43" s="34"/>
      <c r="E43" s="36"/>
    </row>
    <row r="44" spans="1:6" s="43" customFormat="1" ht="39.75" customHeight="1" x14ac:dyDescent="0.2">
      <c r="A44" s="45" t="s">
        <v>1353</v>
      </c>
      <c r="B44" s="214" t="s">
        <v>97</v>
      </c>
      <c r="C44" s="214"/>
      <c r="D44" s="214"/>
      <c r="E44" s="214"/>
      <c r="F44" s="71" t="s">
        <v>865</v>
      </c>
    </row>
    <row r="45" spans="1:6" ht="15" customHeight="1" x14ac:dyDescent="0.2">
      <c r="A45" s="238" t="s">
        <v>1360</v>
      </c>
      <c r="B45" s="238"/>
      <c r="C45" s="238"/>
      <c r="D45" s="215"/>
      <c r="E45" s="50">
        <f>'4.0'!E65</f>
        <v>1000.46</v>
      </c>
    </row>
    <row r="46" spans="1:6" ht="15" customHeight="1" x14ac:dyDescent="0.2">
      <c r="A46" s="238" t="s">
        <v>1361</v>
      </c>
      <c r="B46" s="238"/>
      <c r="C46" s="238"/>
      <c r="D46" s="215"/>
      <c r="E46" s="50">
        <v>1000.46</v>
      </c>
    </row>
    <row r="47" spans="1:6" ht="15" customHeight="1" x14ac:dyDescent="0.2">
      <c r="A47" s="235" t="s">
        <v>1362</v>
      </c>
      <c r="B47" s="235"/>
      <c r="C47" s="235"/>
      <c r="D47" s="217"/>
      <c r="E47" s="98">
        <v>982.94</v>
      </c>
    </row>
    <row r="48" spans="1:6" ht="15" customHeight="1" x14ac:dyDescent="0.2">
      <c r="A48" s="236" t="s">
        <v>1363</v>
      </c>
      <c r="B48" s="236"/>
      <c r="C48" s="236"/>
      <c r="D48" s="219"/>
      <c r="E48" s="97">
        <f>E45-E47</f>
        <v>17.519999999999982</v>
      </c>
    </row>
    <row r="49" spans="1:6" x14ac:dyDescent="0.2">
      <c r="A49" s="34"/>
      <c r="E49" s="36"/>
    </row>
    <row r="50" spans="1:6" s="43" customFormat="1" ht="32.25" customHeight="1" x14ac:dyDescent="0.2">
      <c r="A50" s="45" t="s">
        <v>1364</v>
      </c>
      <c r="B50" s="214" t="s">
        <v>99</v>
      </c>
      <c r="C50" s="214"/>
      <c r="D50" s="214"/>
      <c r="E50" s="214"/>
      <c r="F50" s="71" t="s">
        <v>865</v>
      </c>
    </row>
    <row r="51" spans="1:6" ht="15" customHeight="1" x14ac:dyDescent="0.2">
      <c r="A51" s="238" t="s">
        <v>1378</v>
      </c>
      <c r="B51" s="238"/>
      <c r="C51" s="238"/>
      <c r="D51" s="215"/>
      <c r="E51" s="50">
        <f>'4.0'!E85</f>
        <v>286.90525000000002</v>
      </c>
    </row>
    <row r="52" spans="1:6" ht="15" customHeight="1" x14ac:dyDescent="0.2">
      <c r="A52" s="238" t="s">
        <v>1350</v>
      </c>
      <c r="B52" s="238"/>
      <c r="C52" s="238"/>
      <c r="D52" s="215"/>
      <c r="E52" s="50">
        <v>281.70999999999998</v>
      </c>
    </row>
    <row r="53" spans="1:6" ht="15" customHeight="1" x14ac:dyDescent="0.2">
      <c r="A53" s="235" t="s">
        <v>1351</v>
      </c>
      <c r="B53" s="235"/>
      <c r="C53" s="235"/>
      <c r="D53" s="217"/>
      <c r="E53" s="98">
        <v>222.63</v>
      </c>
    </row>
    <row r="54" spans="1:6" ht="15" customHeight="1" x14ac:dyDescent="0.2">
      <c r="A54" s="236" t="s">
        <v>1352</v>
      </c>
      <c r="B54" s="236"/>
      <c r="C54" s="236"/>
      <c r="D54" s="219"/>
      <c r="E54" s="97">
        <v>59.09</v>
      </c>
    </row>
    <row r="55" spans="1:6" ht="15" customHeight="1" x14ac:dyDescent="0.2">
      <c r="A55" s="237" t="s">
        <v>1379</v>
      </c>
      <c r="B55" s="237"/>
      <c r="C55" s="237"/>
      <c r="D55" s="233"/>
      <c r="E55" s="96">
        <f>E52-E51</f>
        <v>-5.1952500000000441</v>
      </c>
    </row>
    <row r="56" spans="1:6" x14ac:dyDescent="0.2">
      <c r="A56" s="34"/>
      <c r="E56" s="36"/>
    </row>
    <row r="57" spans="1:6" s="43" customFormat="1" ht="32.25" customHeight="1" x14ac:dyDescent="0.2">
      <c r="A57" s="45" t="s">
        <v>1603</v>
      </c>
      <c r="B57" s="214" t="s">
        <v>101</v>
      </c>
      <c r="C57" s="214"/>
      <c r="D57" s="214"/>
      <c r="E57" s="214"/>
      <c r="F57" s="71" t="s">
        <v>865</v>
      </c>
    </row>
    <row r="58" spans="1:6" ht="15" customHeight="1" x14ac:dyDescent="0.2">
      <c r="A58" s="238" t="s">
        <v>1604</v>
      </c>
      <c r="B58" s="238"/>
      <c r="C58" s="238"/>
      <c r="D58" s="215"/>
      <c r="E58" s="50">
        <f>'4.0'!E95</f>
        <v>965.07</v>
      </c>
    </row>
    <row r="59" spans="1:6" ht="15" customHeight="1" x14ac:dyDescent="0.2">
      <c r="A59" s="238" t="s">
        <v>1605</v>
      </c>
      <c r="B59" s="238"/>
      <c r="C59" s="238"/>
      <c r="D59" s="215"/>
      <c r="E59" s="50">
        <v>965.07</v>
      </c>
    </row>
    <row r="60" spans="1:6" ht="15" customHeight="1" x14ac:dyDescent="0.2">
      <c r="A60" s="235" t="s">
        <v>1606</v>
      </c>
      <c r="B60" s="235"/>
      <c r="C60" s="235"/>
      <c r="D60" s="217"/>
      <c r="E60" s="98">
        <v>0</v>
      </c>
    </row>
    <row r="61" spans="1:6" ht="15" customHeight="1" x14ac:dyDescent="0.2">
      <c r="A61" s="236" t="s">
        <v>1607</v>
      </c>
      <c r="B61" s="236"/>
      <c r="C61" s="236"/>
      <c r="D61" s="219"/>
      <c r="E61" s="97">
        <f>E58</f>
        <v>965.07</v>
      </c>
    </row>
    <row r="62" spans="1:6" x14ac:dyDescent="0.2">
      <c r="A62" s="34"/>
      <c r="E62" s="36"/>
    </row>
    <row r="63" spans="1:6" s="43" customFormat="1" ht="39.75" customHeight="1" x14ac:dyDescent="0.2">
      <c r="A63" s="45" t="s">
        <v>1380</v>
      </c>
      <c r="B63" s="214" t="s">
        <v>111</v>
      </c>
      <c r="C63" s="214"/>
      <c r="D63" s="214"/>
      <c r="E63" s="214"/>
      <c r="F63" s="71" t="s">
        <v>865</v>
      </c>
    </row>
    <row r="64" spans="1:6" ht="15" customHeight="1" x14ac:dyDescent="0.2">
      <c r="A64" s="238" t="s">
        <v>1386</v>
      </c>
      <c r="B64" s="238"/>
      <c r="C64" s="238"/>
      <c r="D64" s="215"/>
      <c r="E64" s="50">
        <f>'4.0'!E125</f>
        <v>23.928549999999998</v>
      </c>
    </row>
    <row r="65" spans="1:6" ht="15" customHeight="1" x14ac:dyDescent="0.2">
      <c r="A65" s="238" t="s">
        <v>1387</v>
      </c>
      <c r="B65" s="238"/>
      <c r="C65" s="238"/>
      <c r="D65" s="215"/>
      <c r="E65" s="50">
        <v>23.93</v>
      </c>
    </row>
    <row r="66" spans="1:6" ht="15" customHeight="1" x14ac:dyDescent="0.2">
      <c r="A66" s="235" t="s">
        <v>1388</v>
      </c>
      <c r="B66" s="235"/>
      <c r="C66" s="235"/>
      <c r="D66" s="217"/>
      <c r="E66" s="98">
        <v>23.32</v>
      </c>
    </row>
    <row r="67" spans="1:6" ht="15" customHeight="1" x14ac:dyDescent="0.2">
      <c r="A67" s="236" t="s">
        <v>1389</v>
      </c>
      <c r="B67" s="236"/>
      <c r="C67" s="236"/>
      <c r="D67" s="219"/>
      <c r="E67" s="97">
        <v>0.6</v>
      </c>
    </row>
    <row r="68" spans="1:6" x14ac:dyDescent="0.2">
      <c r="A68" s="34"/>
      <c r="E68" s="36"/>
    </row>
    <row r="69" spans="1:6" s="43" customFormat="1" ht="39.75" customHeight="1" x14ac:dyDescent="0.2">
      <c r="A69" s="45" t="s">
        <v>1390</v>
      </c>
      <c r="B69" s="214" t="s">
        <v>840</v>
      </c>
      <c r="C69" s="214"/>
      <c r="D69" s="214"/>
      <c r="E69" s="214"/>
      <c r="F69" s="71" t="s">
        <v>865</v>
      </c>
    </row>
    <row r="70" spans="1:6" ht="15" customHeight="1" x14ac:dyDescent="0.2">
      <c r="A70" s="238" t="s">
        <v>1397</v>
      </c>
      <c r="B70" s="238"/>
      <c r="C70" s="238"/>
      <c r="D70" s="215"/>
      <c r="E70" s="50">
        <f>'4.0'!E141</f>
        <v>162.90799999999999</v>
      </c>
    </row>
    <row r="71" spans="1:6" ht="15" customHeight="1" x14ac:dyDescent="0.2">
      <c r="A71" s="238" t="s">
        <v>1398</v>
      </c>
      <c r="B71" s="238"/>
      <c r="C71" s="238"/>
      <c r="D71" s="215"/>
      <c r="E71" s="50">
        <v>162.91</v>
      </c>
    </row>
    <row r="72" spans="1:6" ht="15" customHeight="1" x14ac:dyDescent="0.2">
      <c r="A72" s="235" t="s">
        <v>1399</v>
      </c>
      <c r="B72" s="235"/>
      <c r="C72" s="235"/>
      <c r="D72" s="217"/>
      <c r="E72" s="98">
        <v>160.16999999999999</v>
      </c>
    </row>
    <row r="73" spans="1:6" ht="15" customHeight="1" x14ac:dyDescent="0.2">
      <c r="A73" s="236" t="s">
        <v>1400</v>
      </c>
      <c r="B73" s="236"/>
      <c r="C73" s="236"/>
      <c r="D73" s="219"/>
      <c r="E73" s="97">
        <f>E70-E72</f>
        <v>2.7379999999999995</v>
      </c>
    </row>
    <row r="74" spans="1:6" x14ac:dyDescent="0.2">
      <c r="A74" s="34"/>
      <c r="E74" s="36"/>
    </row>
    <row r="75" spans="1:6" ht="17.25" hidden="1" customHeight="1" x14ac:dyDescent="0.2">
      <c r="A75" s="44" t="s">
        <v>917</v>
      </c>
      <c r="B75" s="243" t="s">
        <v>918</v>
      </c>
      <c r="C75" s="244"/>
      <c r="D75" s="244"/>
      <c r="E75" s="245"/>
    </row>
    <row r="76" spans="1:6" s="43" customFormat="1" ht="39.75" hidden="1" customHeight="1" x14ac:dyDescent="0.2">
      <c r="A76" s="45" t="s">
        <v>937</v>
      </c>
      <c r="B76" s="225" t="s">
        <v>938</v>
      </c>
      <c r="C76" s="226"/>
      <c r="D76" s="226"/>
      <c r="E76" s="227"/>
    </row>
    <row r="77" spans="1:6" s="47" customFormat="1" ht="14.25" hidden="1" customHeight="1" x14ac:dyDescent="0.2">
      <c r="A77" s="222" t="s">
        <v>939</v>
      </c>
      <c r="B77" s="223"/>
      <c r="C77" s="223"/>
      <c r="D77" s="223"/>
      <c r="E77" s="94">
        <v>244040</v>
      </c>
    </row>
    <row r="78" spans="1:6" ht="6.75" hidden="1" customHeight="1" x14ac:dyDescent="0.2">
      <c r="A78" s="246"/>
      <c r="B78" s="247"/>
      <c r="C78" s="52"/>
      <c r="D78" s="52"/>
      <c r="E78" s="89"/>
    </row>
    <row r="79" spans="1:6" ht="14.25" hidden="1" customHeight="1" x14ac:dyDescent="0.2">
      <c r="A79" s="215" t="s">
        <v>940</v>
      </c>
      <c r="B79" s="216"/>
      <c r="C79" s="216"/>
      <c r="D79" s="216"/>
      <c r="E79" s="89">
        <v>244040</v>
      </c>
    </row>
    <row r="80" spans="1:6" ht="14.25" hidden="1" customHeight="1" x14ac:dyDescent="0.2">
      <c r="A80" s="215" t="s">
        <v>1032</v>
      </c>
      <c r="B80" s="216"/>
      <c r="C80" s="216"/>
      <c r="D80" s="216"/>
      <c r="E80" s="89">
        <f>Planilha!H66</f>
        <v>244040</v>
      </c>
    </row>
    <row r="81" spans="1:5" ht="14.25" hidden="1" customHeight="1" x14ac:dyDescent="0.2">
      <c r="A81" s="219" t="s">
        <v>1033</v>
      </c>
      <c r="B81" s="220"/>
      <c r="C81" s="220"/>
      <c r="D81" s="220"/>
      <c r="E81" s="90">
        <f>E77-E80</f>
        <v>0</v>
      </c>
    </row>
    <row r="82" spans="1:5" ht="14.25" hidden="1" customHeight="1" x14ac:dyDescent="0.2">
      <c r="A82" s="228"/>
      <c r="B82" s="229"/>
      <c r="C82" s="52"/>
      <c r="D82" s="52"/>
      <c r="E82" s="62"/>
    </row>
    <row r="83" spans="1:5" s="43" customFormat="1" ht="39.75" hidden="1" customHeight="1" x14ac:dyDescent="0.2">
      <c r="A83" s="45" t="s">
        <v>842</v>
      </c>
      <c r="B83" s="225" t="s">
        <v>948</v>
      </c>
      <c r="C83" s="226"/>
      <c r="D83" s="226"/>
      <c r="E83" s="227"/>
    </row>
    <row r="84" spans="1:5" ht="15" hidden="1" customHeight="1" x14ac:dyDescent="0.2">
      <c r="A84" s="222" t="s">
        <v>950</v>
      </c>
      <c r="B84" s="223"/>
      <c r="C84" s="223"/>
      <c r="D84" s="223"/>
      <c r="E84" s="50" t="e">
        <f>#REF!</f>
        <v>#REF!</v>
      </c>
    </row>
    <row r="85" spans="1:5" ht="15" hidden="1" customHeight="1" x14ac:dyDescent="0.2">
      <c r="A85" s="215" t="s">
        <v>941</v>
      </c>
      <c r="B85" s="216"/>
      <c r="C85" s="216"/>
      <c r="D85" s="216"/>
      <c r="E85" s="50">
        <v>1025.68</v>
      </c>
    </row>
    <row r="86" spans="1:5" ht="15" hidden="1" customHeight="1" x14ac:dyDescent="0.2">
      <c r="A86" s="215" t="s">
        <v>951</v>
      </c>
      <c r="B86" s="216"/>
      <c r="C86" s="216"/>
      <c r="D86" s="216"/>
      <c r="E86" s="50">
        <v>565.70000000000005</v>
      </c>
    </row>
    <row r="87" spans="1:5" ht="15" hidden="1" customHeight="1" x14ac:dyDescent="0.2">
      <c r="A87" s="219" t="s">
        <v>943</v>
      </c>
      <c r="B87" s="220"/>
      <c r="C87" s="220"/>
      <c r="D87" s="220"/>
      <c r="E87" s="97">
        <f>E85-E86</f>
        <v>459.98</v>
      </c>
    </row>
    <row r="88" spans="1:5" ht="15" hidden="1" customHeight="1" x14ac:dyDescent="0.2">
      <c r="A88" s="233" t="s">
        <v>942</v>
      </c>
      <c r="B88" s="234"/>
      <c r="C88" s="234"/>
      <c r="D88" s="234"/>
      <c r="E88" s="96" t="e">
        <f>E85-E84</f>
        <v>#REF!</v>
      </c>
    </row>
    <row r="89" spans="1:5" hidden="1" x14ac:dyDescent="0.2">
      <c r="A89" s="34"/>
      <c r="E89" s="36"/>
    </row>
    <row r="90" spans="1:5" s="43" customFormat="1" ht="39.75" hidden="1" customHeight="1" x14ac:dyDescent="0.2">
      <c r="A90" s="45" t="s">
        <v>844</v>
      </c>
      <c r="B90" s="225" t="s">
        <v>949</v>
      </c>
      <c r="C90" s="226"/>
      <c r="D90" s="226"/>
      <c r="E90" s="227"/>
    </row>
    <row r="91" spans="1:5" ht="15" hidden="1" customHeight="1" x14ac:dyDescent="0.2">
      <c r="A91" s="222" t="s">
        <v>953</v>
      </c>
      <c r="B91" s="223"/>
      <c r="C91" s="223"/>
      <c r="D91" s="223"/>
      <c r="E91" s="50" t="e">
        <f>#REF!</f>
        <v>#REF!</v>
      </c>
    </row>
    <row r="92" spans="1:5" ht="15" hidden="1" customHeight="1" x14ac:dyDescent="0.2">
      <c r="A92" s="215" t="s">
        <v>941</v>
      </c>
      <c r="B92" s="216"/>
      <c r="C92" s="216"/>
      <c r="D92" s="216"/>
      <c r="E92" s="50">
        <v>314.5</v>
      </c>
    </row>
    <row r="93" spans="1:5" ht="15" hidden="1" customHeight="1" x14ac:dyDescent="0.2">
      <c r="A93" s="215" t="s">
        <v>951</v>
      </c>
      <c r="B93" s="216"/>
      <c r="C93" s="216"/>
      <c r="D93" s="216"/>
      <c r="E93" s="50">
        <v>96.5</v>
      </c>
    </row>
    <row r="94" spans="1:5" ht="15" hidden="1" customHeight="1" x14ac:dyDescent="0.2">
      <c r="A94" s="219" t="s">
        <v>943</v>
      </c>
      <c r="B94" s="220"/>
      <c r="C94" s="220"/>
      <c r="D94" s="220"/>
      <c r="E94" s="97" t="e">
        <f>E91-E93</f>
        <v>#REF!</v>
      </c>
    </row>
    <row r="95" spans="1:5" hidden="1" x14ac:dyDescent="0.2">
      <c r="A95" s="34"/>
      <c r="E95" s="36"/>
    </row>
    <row r="96" spans="1:5" s="43" customFormat="1" ht="39.75" hidden="1" customHeight="1" x14ac:dyDescent="0.2">
      <c r="A96" s="45" t="s">
        <v>846</v>
      </c>
      <c r="B96" s="225" t="s">
        <v>944</v>
      </c>
      <c r="C96" s="226"/>
      <c r="D96" s="226"/>
      <c r="E96" s="227"/>
    </row>
    <row r="97" spans="1:6" ht="15" hidden="1" customHeight="1" x14ac:dyDescent="0.2">
      <c r="A97" s="222" t="s">
        <v>952</v>
      </c>
      <c r="B97" s="223"/>
      <c r="C97" s="223"/>
      <c r="D97" s="223"/>
      <c r="E97" s="50" t="e">
        <f>#REF!</f>
        <v>#REF!</v>
      </c>
    </row>
    <row r="98" spans="1:6" ht="15" hidden="1" customHeight="1" x14ac:dyDescent="0.2">
      <c r="A98" s="215" t="s">
        <v>941</v>
      </c>
      <c r="B98" s="216"/>
      <c r="C98" s="216"/>
      <c r="D98" s="216"/>
      <c r="E98" s="50">
        <v>1392.7</v>
      </c>
    </row>
    <row r="99" spans="1:6" ht="15" hidden="1" customHeight="1" x14ac:dyDescent="0.2">
      <c r="A99" s="215" t="s">
        <v>951</v>
      </c>
      <c r="B99" s="216"/>
      <c r="C99" s="216"/>
      <c r="D99" s="216"/>
      <c r="E99" s="50">
        <v>1354.88</v>
      </c>
    </row>
    <row r="100" spans="1:6" ht="15" hidden="1" customHeight="1" x14ac:dyDescent="0.2">
      <c r="A100" s="219" t="s">
        <v>943</v>
      </c>
      <c r="B100" s="220"/>
      <c r="C100" s="220"/>
      <c r="D100" s="220"/>
      <c r="E100" s="97">
        <f>E98-E99</f>
        <v>37.819999999999936</v>
      </c>
    </row>
    <row r="101" spans="1:6" ht="15" hidden="1" customHeight="1" x14ac:dyDescent="0.2">
      <c r="A101" s="233" t="s">
        <v>942</v>
      </c>
      <c r="B101" s="234"/>
      <c r="C101" s="234"/>
      <c r="D101" s="234"/>
      <c r="E101" s="96" t="e">
        <f>E98-E97</f>
        <v>#REF!</v>
      </c>
    </row>
    <row r="102" spans="1:6" hidden="1" x14ac:dyDescent="0.2">
      <c r="A102" s="34"/>
      <c r="E102" s="36"/>
    </row>
    <row r="103" spans="1:6" s="43" customFormat="1" ht="39.75" hidden="1" customHeight="1" x14ac:dyDescent="0.2">
      <c r="A103" s="45" t="s">
        <v>848</v>
      </c>
      <c r="B103" s="225" t="s">
        <v>103</v>
      </c>
      <c r="C103" s="226"/>
      <c r="D103" s="226"/>
      <c r="E103" s="227"/>
    </row>
    <row r="104" spans="1:6" ht="15" hidden="1" customHeight="1" x14ac:dyDescent="0.2">
      <c r="A104" s="222" t="s">
        <v>954</v>
      </c>
      <c r="B104" s="223"/>
      <c r="C104" s="223"/>
      <c r="D104" s="223"/>
      <c r="E104" s="50" t="e">
        <f>#REF!</f>
        <v>#REF!</v>
      </c>
    </row>
    <row r="105" spans="1:6" ht="15" hidden="1" customHeight="1" x14ac:dyDescent="0.2">
      <c r="A105" s="215" t="s">
        <v>941</v>
      </c>
      <c r="B105" s="216"/>
      <c r="C105" s="216"/>
      <c r="D105" s="216"/>
      <c r="E105" s="50">
        <v>665.53</v>
      </c>
    </row>
    <row r="106" spans="1:6" ht="15" hidden="1" customHeight="1" x14ac:dyDescent="0.2">
      <c r="A106" s="215" t="s">
        <v>951</v>
      </c>
      <c r="B106" s="216"/>
      <c r="C106" s="216"/>
      <c r="D106" s="216"/>
      <c r="E106" s="50">
        <v>350.24</v>
      </c>
    </row>
    <row r="107" spans="1:6" ht="15" hidden="1" customHeight="1" x14ac:dyDescent="0.2">
      <c r="A107" s="219" t="s">
        <v>943</v>
      </c>
      <c r="B107" s="220"/>
      <c r="C107" s="220"/>
      <c r="D107" s="220"/>
      <c r="E107" s="97">
        <f>E105-E106</f>
        <v>315.28999999999996</v>
      </c>
    </row>
    <row r="108" spans="1:6" ht="15" hidden="1" customHeight="1" x14ac:dyDescent="0.2">
      <c r="A108" s="233" t="s">
        <v>942</v>
      </c>
      <c r="B108" s="234"/>
      <c r="C108" s="234"/>
      <c r="D108" s="234"/>
      <c r="E108" s="96" t="e">
        <f>E105-E104</f>
        <v>#REF!</v>
      </c>
    </row>
    <row r="109" spans="1:6" hidden="1" x14ac:dyDescent="0.2">
      <c r="A109" s="34"/>
      <c r="E109" s="36"/>
    </row>
    <row r="110" spans="1:6" s="43" customFormat="1" ht="39.75" hidden="1" customHeight="1" x14ac:dyDescent="0.2">
      <c r="A110" s="45" t="s">
        <v>849</v>
      </c>
      <c r="B110" s="225" t="s">
        <v>850</v>
      </c>
      <c r="C110" s="226"/>
      <c r="D110" s="226"/>
      <c r="E110" s="227"/>
      <c r="F110" s="43" t="s">
        <v>865</v>
      </c>
    </row>
    <row r="111" spans="1:6" ht="15" hidden="1" customHeight="1" x14ac:dyDescent="0.2">
      <c r="A111" s="222" t="s">
        <v>1202</v>
      </c>
      <c r="B111" s="223"/>
      <c r="C111" s="223"/>
      <c r="D111" s="223"/>
      <c r="E111" s="50" t="e">
        <f>#REF!</f>
        <v>#REF!</v>
      </c>
    </row>
    <row r="112" spans="1:6" ht="15" hidden="1" customHeight="1" x14ac:dyDescent="0.2">
      <c r="A112" s="215" t="s">
        <v>945</v>
      </c>
      <c r="B112" s="216"/>
      <c r="C112" s="216"/>
      <c r="D112" s="216"/>
      <c r="E112" s="50">
        <v>1022.8</v>
      </c>
    </row>
    <row r="113" spans="1:6" ht="15" hidden="1" customHeight="1" x14ac:dyDescent="0.2">
      <c r="A113" s="215" t="s">
        <v>1199</v>
      </c>
      <c r="B113" s="216"/>
      <c r="C113" s="216"/>
      <c r="D113" s="216"/>
      <c r="E113" s="50" t="e">
        <f>#REF!</f>
        <v>#REF!</v>
      </c>
    </row>
    <row r="114" spans="1:6" ht="15" hidden="1" customHeight="1" x14ac:dyDescent="0.2">
      <c r="A114" s="219" t="s">
        <v>1200</v>
      </c>
      <c r="B114" s="220"/>
      <c r="C114" s="220"/>
      <c r="D114" s="220"/>
      <c r="E114" s="97" t="e">
        <f>E112-E113</f>
        <v>#REF!</v>
      </c>
    </row>
    <row r="115" spans="1:6" ht="15" hidden="1" customHeight="1" x14ac:dyDescent="0.2">
      <c r="A115" s="233" t="s">
        <v>1201</v>
      </c>
      <c r="B115" s="234"/>
      <c r="C115" s="234"/>
      <c r="D115" s="234"/>
      <c r="E115" s="96" t="e">
        <f>E112-E111</f>
        <v>#REF!</v>
      </c>
    </row>
    <row r="116" spans="1:6" hidden="1" x14ac:dyDescent="0.2">
      <c r="A116" s="34"/>
      <c r="E116" s="36"/>
    </row>
    <row r="117" spans="1:6" s="43" customFormat="1" ht="39.75" hidden="1" customHeight="1" x14ac:dyDescent="0.2">
      <c r="A117" s="45" t="s">
        <v>851</v>
      </c>
      <c r="B117" s="225" t="s">
        <v>852</v>
      </c>
      <c r="C117" s="226"/>
      <c r="D117" s="226"/>
      <c r="E117" s="227"/>
    </row>
    <row r="118" spans="1:6" ht="15" hidden="1" customHeight="1" x14ac:dyDescent="0.2">
      <c r="A118" s="222" t="s">
        <v>956</v>
      </c>
      <c r="B118" s="223"/>
      <c r="C118" s="223"/>
      <c r="D118" s="223"/>
      <c r="E118" s="50" t="e">
        <f>#REF!</f>
        <v>#REF!</v>
      </c>
    </row>
    <row r="119" spans="1:6" ht="15" hidden="1" customHeight="1" x14ac:dyDescent="0.2">
      <c r="A119" s="215" t="s">
        <v>945</v>
      </c>
      <c r="B119" s="216"/>
      <c r="C119" s="216"/>
      <c r="D119" s="216"/>
      <c r="E119" s="50">
        <v>7725.41</v>
      </c>
    </row>
    <row r="120" spans="1:6" ht="15" hidden="1" customHeight="1" x14ac:dyDescent="0.2">
      <c r="A120" s="215" t="s">
        <v>955</v>
      </c>
      <c r="B120" s="216"/>
      <c r="C120" s="216"/>
      <c r="D120" s="216"/>
      <c r="E120" s="50">
        <v>7097.05</v>
      </c>
    </row>
    <row r="121" spans="1:6" ht="15" hidden="1" customHeight="1" x14ac:dyDescent="0.2">
      <c r="A121" s="219" t="s">
        <v>947</v>
      </c>
      <c r="B121" s="220"/>
      <c r="C121" s="220"/>
      <c r="D121" s="220"/>
      <c r="E121" s="97">
        <f>E119-E120</f>
        <v>628.35999999999967</v>
      </c>
    </row>
    <row r="122" spans="1:6" ht="15" hidden="1" customHeight="1" x14ac:dyDescent="0.2">
      <c r="A122" s="233" t="s">
        <v>946</v>
      </c>
      <c r="B122" s="234"/>
      <c r="C122" s="234"/>
      <c r="D122" s="234"/>
      <c r="E122" s="96" t="e">
        <f>E119-E118</f>
        <v>#REF!</v>
      </c>
    </row>
    <row r="123" spans="1:6" hidden="1" x14ac:dyDescent="0.2">
      <c r="A123" s="34"/>
      <c r="E123" s="36"/>
    </row>
    <row r="124" spans="1:6" s="43" customFormat="1" ht="39.75" hidden="1" customHeight="1" x14ac:dyDescent="0.2">
      <c r="A124" s="45" t="s">
        <v>853</v>
      </c>
      <c r="B124" s="225" t="s">
        <v>854</v>
      </c>
      <c r="C124" s="226"/>
      <c r="D124" s="226"/>
      <c r="E124" s="227"/>
      <c r="F124" s="43" t="s">
        <v>865</v>
      </c>
    </row>
    <row r="125" spans="1:6" ht="15" hidden="1" customHeight="1" x14ac:dyDescent="0.2">
      <c r="A125" s="222" t="s">
        <v>957</v>
      </c>
      <c r="B125" s="223"/>
      <c r="C125" s="223"/>
      <c r="D125" s="223"/>
      <c r="E125" s="50" t="e">
        <f>#REF!</f>
        <v>#REF!</v>
      </c>
    </row>
    <row r="126" spans="1:6" ht="15" hidden="1" customHeight="1" x14ac:dyDescent="0.2">
      <c r="A126" s="215" t="s">
        <v>945</v>
      </c>
      <c r="B126" s="216"/>
      <c r="C126" s="216"/>
      <c r="D126" s="216"/>
      <c r="E126" s="50">
        <v>2501.62</v>
      </c>
    </row>
    <row r="127" spans="1:6" ht="15" hidden="1" customHeight="1" x14ac:dyDescent="0.2">
      <c r="A127" s="215" t="s">
        <v>1203</v>
      </c>
      <c r="B127" s="216"/>
      <c r="C127" s="216"/>
      <c r="D127" s="216"/>
      <c r="E127" s="50" t="e">
        <f>#REF!</f>
        <v>#REF!</v>
      </c>
    </row>
    <row r="128" spans="1:6" ht="15" hidden="1" customHeight="1" x14ac:dyDescent="0.2">
      <c r="A128" s="219" t="s">
        <v>1200</v>
      </c>
      <c r="B128" s="220"/>
      <c r="C128" s="220"/>
      <c r="D128" s="220"/>
      <c r="E128" s="97" t="e">
        <f>E125-E127</f>
        <v>#REF!</v>
      </c>
    </row>
    <row r="129" spans="1:6" hidden="1" x14ac:dyDescent="0.2">
      <c r="A129" s="34"/>
      <c r="E129" s="36"/>
    </row>
    <row r="130" spans="1:6" ht="17.25" customHeight="1" x14ac:dyDescent="0.2">
      <c r="A130" s="44" t="s">
        <v>828</v>
      </c>
      <c r="B130" s="221" t="s">
        <v>133</v>
      </c>
      <c r="C130" s="221"/>
      <c r="D130" s="221"/>
      <c r="E130" s="221"/>
    </row>
    <row r="131" spans="1:6" s="43" customFormat="1" ht="40.5" customHeight="1" x14ac:dyDescent="0.2">
      <c r="A131" s="45" t="s">
        <v>1407</v>
      </c>
      <c r="B131" s="214" t="s">
        <v>137</v>
      </c>
      <c r="C131" s="214"/>
      <c r="D131" s="214"/>
      <c r="E131" s="214"/>
      <c r="F131" s="71" t="s">
        <v>865</v>
      </c>
    </row>
    <row r="132" spans="1:6" ht="14.25" customHeight="1" x14ac:dyDescent="0.2">
      <c r="A132" s="215" t="s">
        <v>1408</v>
      </c>
      <c r="B132" s="216"/>
      <c r="C132" s="216"/>
      <c r="D132" s="216"/>
      <c r="E132" s="62">
        <f>'6.0'!F17</f>
        <v>1265.8599999999999</v>
      </c>
    </row>
    <row r="133" spans="1:6" ht="14.25" customHeight="1" x14ac:dyDescent="0.2">
      <c r="A133" s="215" t="s">
        <v>1409</v>
      </c>
      <c r="B133" s="216"/>
      <c r="C133" s="216"/>
      <c r="D133" s="216"/>
      <c r="E133" s="62">
        <v>1582.23</v>
      </c>
    </row>
    <row r="134" spans="1:6" ht="14.25" customHeight="1" x14ac:dyDescent="0.2">
      <c r="A134" s="217" t="s">
        <v>1410</v>
      </c>
      <c r="B134" s="218"/>
      <c r="C134" s="218"/>
      <c r="D134" s="218"/>
      <c r="E134" s="69">
        <v>0</v>
      </c>
    </row>
    <row r="135" spans="1:6" ht="14.25" customHeight="1" x14ac:dyDescent="0.2">
      <c r="A135" s="219" t="s">
        <v>1411</v>
      </c>
      <c r="B135" s="220"/>
      <c r="C135" s="220"/>
      <c r="D135" s="220"/>
      <c r="E135" s="63">
        <f>E132</f>
        <v>1265.8599999999999</v>
      </c>
    </row>
    <row r="136" spans="1:6" x14ac:dyDescent="0.2">
      <c r="A136" s="60"/>
      <c r="B136" s="91"/>
      <c r="C136" s="91"/>
      <c r="E136" s="61"/>
    </row>
    <row r="137" spans="1:6" s="43" customFormat="1" ht="32.25" customHeight="1" x14ac:dyDescent="0.2">
      <c r="A137" s="45" t="s">
        <v>1550</v>
      </c>
      <c r="B137" s="214" t="s">
        <v>139</v>
      </c>
      <c r="C137" s="214"/>
      <c r="D137" s="214"/>
      <c r="E137" s="214"/>
      <c r="F137" s="71" t="s">
        <v>865</v>
      </c>
    </row>
    <row r="138" spans="1:6" ht="14.25" customHeight="1" x14ac:dyDescent="0.2">
      <c r="A138" s="215" t="s">
        <v>1552</v>
      </c>
      <c r="B138" s="216"/>
      <c r="C138" s="216"/>
      <c r="D138" s="216"/>
      <c r="E138" s="62">
        <f>'6.0'!F26</f>
        <v>30</v>
      </c>
    </row>
    <row r="139" spans="1:6" ht="14.25" customHeight="1" x14ac:dyDescent="0.2">
      <c r="A139" s="215" t="s">
        <v>1555</v>
      </c>
      <c r="B139" s="216"/>
      <c r="C139" s="216"/>
      <c r="D139" s="216"/>
      <c r="E139" s="62">
        <v>69.7</v>
      </c>
    </row>
    <row r="140" spans="1:6" ht="14.25" customHeight="1" x14ac:dyDescent="0.2">
      <c r="A140" s="217" t="s">
        <v>1556</v>
      </c>
      <c r="B140" s="218"/>
      <c r="C140" s="218"/>
      <c r="D140" s="218"/>
      <c r="E140" s="69">
        <v>0</v>
      </c>
    </row>
    <row r="141" spans="1:6" ht="14.25" customHeight="1" x14ac:dyDescent="0.2">
      <c r="A141" s="219" t="s">
        <v>1557</v>
      </c>
      <c r="B141" s="220"/>
      <c r="C141" s="220"/>
      <c r="D141" s="220"/>
      <c r="E141" s="63">
        <f>E138</f>
        <v>30</v>
      </c>
    </row>
    <row r="142" spans="1:6" x14ac:dyDescent="0.2">
      <c r="A142" s="60"/>
      <c r="B142" s="91"/>
      <c r="C142" s="91"/>
      <c r="E142" s="61"/>
    </row>
    <row r="143" spans="1:6" s="43" customFormat="1" ht="40.5" customHeight="1" x14ac:dyDescent="0.2">
      <c r="A143" s="45" t="s">
        <v>907</v>
      </c>
      <c r="B143" s="214" t="s">
        <v>141</v>
      </c>
      <c r="C143" s="214"/>
      <c r="D143" s="214"/>
      <c r="E143" s="214"/>
      <c r="F143" s="71" t="s">
        <v>865</v>
      </c>
    </row>
    <row r="144" spans="1:6" ht="14.25" customHeight="1" x14ac:dyDescent="0.2">
      <c r="A144" s="215" t="s">
        <v>909</v>
      </c>
      <c r="B144" s="216"/>
      <c r="C144" s="216"/>
      <c r="D144" s="216"/>
      <c r="E144" s="62">
        <f>'6.0'!F51</f>
        <v>275.66200000000003</v>
      </c>
    </row>
    <row r="145" spans="1:6" ht="14.25" customHeight="1" x14ac:dyDescent="0.2">
      <c r="A145" s="215" t="s">
        <v>910</v>
      </c>
      <c r="B145" s="216"/>
      <c r="C145" s="216"/>
      <c r="D145" s="216"/>
      <c r="E145" s="62">
        <v>254.7</v>
      </c>
    </row>
    <row r="146" spans="1:6" ht="14.25" customHeight="1" x14ac:dyDescent="0.2">
      <c r="A146" s="217" t="s">
        <v>1412</v>
      </c>
      <c r="B146" s="218"/>
      <c r="C146" s="218"/>
      <c r="D146" s="218"/>
      <c r="E146" s="69">
        <v>237.41</v>
      </c>
    </row>
    <row r="147" spans="1:6" ht="14.25" customHeight="1" x14ac:dyDescent="0.2">
      <c r="A147" s="219" t="s">
        <v>1413</v>
      </c>
      <c r="B147" s="220"/>
      <c r="C147" s="220"/>
      <c r="D147" s="220"/>
      <c r="E147" s="63">
        <f>E145-E146</f>
        <v>17.289999999999992</v>
      </c>
    </row>
    <row r="148" spans="1:6" ht="14.25" customHeight="1" x14ac:dyDescent="0.2">
      <c r="A148" s="233" t="s">
        <v>958</v>
      </c>
      <c r="B148" s="234"/>
      <c r="C148" s="234"/>
      <c r="D148" s="234"/>
      <c r="E148" s="93">
        <f>E145-E144</f>
        <v>-20.962000000000046</v>
      </c>
    </row>
    <row r="149" spans="1:6" x14ac:dyDescent="0.2">
      <c r="A149" s="60"/>
      <c r="B149" s="91"/>
      <c r="C149" s="91"/>
      <c r="E149" s="61"/>
    </row>
    <row r="150" spans="1:6" ht="17.25" hidden="1" customHeight="1" x14ac:dyDescent="0.2">
      <c r="A150" s="44" t="s">
        <v>1204</v>
      </c>
      <c r="B150" s="221" t="s">
        <v>145</v>
      </c>
      <c r="C150" s="221"/>
      <c r="D150" s="221"/>
      <c r="E150" s="221"/>
    </row>
    <row r="151" spans="1:6" s="43" customFormat="1" ht="30" hidden="1" customHeight="1" x14ac:dyDescent="0.2">
      <c r="A151" s="45" t="s">
        <v>1205</v>
      </c>
      <c r="B151" s="214" t="s">
        <v>147</v>
      </c>
      <c r="C151" s="214"/>
      <c r="D151" s="214"/>
      <c r="E151" s="214"/>
      <c r="F151" s="43" t="s">
        <v>865</v>
      </c>
    </row>
    <row r="152" spans="1:6" ht="14.25" hidden="1" customHeight="1" x14ac:dyDescent="0.2">
      <c r="A152" s="215" t="s">
        <v>1206</v>
      </c>
      <c r="B152" s="216"/>
      <c r="C152" s="216"/>
      <c r="D152" s="216"/>
      <c r="E152" s="62" t="e">
        <f>#REF!</f>
        <v>#REF!</v>
      </c>
    </row>
    <row r="153" spans="1:6" ht="14.25" hidden="1" customHeight="1" x14ac:dyDescent="0.2">
      <c r="A153" s="215" t="s">
        <v>1209</v>
      </c>
      <c r="B153" s="216"/>
      <c r="C153" s="216"/>
      <c r="D153" s="216"/>
      <c r="E153" s="62">
        <v>942.37</v>
      </c>
    </row>
    <row r="154" spans="1:6" ht="14.25" hidden="1" customHeight="1" x14ac:dyDescent="0.2">
      <c r="A154" s="217" t="s">
        <v>1208</v>
      </c>
      <c r="B154" s="218"/>
      <c r="C154" s="218"/>
      <c r="D154" s="218"/>
      <c r="E154" s="69">
        <v>0</v>
      </c>
    </row>
    <row r="155" spans="1:6" ht="14.25" hidden="1" customHeight="1" x14ac:dyDescent="0.2">
      <c r="A155" s="219" t="s">
        <v>1207</v>
      </c>
      <c r="B155" s="220"/>
      <c r="C155" s="220"/>
      <c r="D155" s="220"/>
      <c r="E155" s="63" t="e">
        <f>E152</f>
        <v>#REF!</v>
      </c>
    </row>
    <row r="156" spans="1:6" hidden="1" x14ac:dyDescent="0.2">
      <c r="A156" s="60"/>
      <c r="B156" s="91"/>
      <c r="C156" s="91"/>
      <c r="E156" s="61"/>
    </row>
    <row r="157" spans="1:6" s="43" customFormat="1" ht="30" hidden="1" customHeight="1" x14ac:dyDescent="0.2">
      <c r="A157" s="45" t="s">
        <v>1257</v>
      </c>
      <c r="B157" s="214" t="s">
        <v>151</v>
      </c>
      <c r="C157" s="214"/>
      <c r="D157" s="214"/>
      <c r="E157" s="214"/>
      <c r="F157" s="43" t="s">
        <v>865</v>
      </c>
    </row>
    <row r="158" spans="1:6" ht="14.25" hidden="1" customHeight="1" x14ac:dyDescent="0.2">
      <c r="A158" s="215" t="s">
        <v>1210</v>
      </c>
      <c r="B158" s="216"/>
      <c r="C158" s="216"/>
      <c r="D158" s="216"/>
      <c r="E158" s="62" t="e">
        <f>#REF!</f>
        <v>#REF!</v>
      </c>
    </row>
    <row r="159" spans="1:6" ht="14.25" hidden="1" customHeight="1" x14ac:dyDescent="0.2">
      <c r="A159" s="215" t="s">
        <v>1211</v>
      </c>
      <c r="B159" s="216"/>
      <c r="C159" s="216"/>
      <c r="D159" s="216"/>
      <c r="E159" s="62">
        <v>706.77</v>
      </c>
    </row>
    <row r="160" spans="1:6" ht="14.25" hidden="1" customHeight="1" x14ac:dyDescent="0.2">
      <c r="A160" s="217" t="s">
        <v>1212</v>
      </c>
      <c r="B160" s="218"/>
      <c r="C160" s="218"/>
      <c r="D160" s="218"/>
      <c r="E160" s="69">
        <v>0</v>
      </c>
    </row>
    <row r="161" spans="1:6" ht="14.25" hidden="1" customHeight="1" x14ac:dyDescent="0.2">
      <c r="A161" s="219" t="s">
        <v>1213</v>
      </c>
      <c r="B161" s="220"/>
      <c r="C161" s="220"/>
      <c r="D161" s="220"/>
      <c r="E161" s="63" t="e">
        <f>E158</f>
        <v>#REF!</v>
      </c>
    </row>
    <row r="162" spans="1:6" hidden="1" x14ac:dyDescent="0.2">
      <c r="A162" s="60"/>
      <c r="B162" s="91"/>
      <c r="C162" s="91"/>
      <c r="E162" s="61"/>
    </row>
    <row r="163" spans="1:6" ht="17.25" hidden="1" customHeight="1" x14ac:dyDescent="0.2">
      <c r="A163" s="44" t="s">
        <v>1113</v>
      </c>
      <c r="B163" s="221" t="s">
        <v>153</v>
      </c>
      <c r="C163" s="221"/>
      <c r="D163" s="221"/>
      <c r="E163" s="221"/>
    </row>
    <row r="164" spans="1:6" ht="4.5" hidden="1" customHeight="1" x14ac:dyDescent="0.2">
      <c r="A164" s="60"/>
      <c r="B164" s="91"/>
      <c r="C164" s="91"/>
      <c r="E164" s="61"/>
    </row>
    <row r="165" spans="1:6" ht="17.25" hidden="1" customHeight="1" x14ac:dyDescent="0.2">
      <c r="A165" s="123" t="s">
        <v>1114</v>
      </c>
      <c r="B165" s="230" t="s">
        <v>155</v>
      </c>
      <c r="C165" s="231"/>
      <c r="D165" s="231"/>
      <c r="E165" s="232"/>
    </row>
    <row r="166" spans="1:6" s="43" customFormat="1" ht="30" hidden="1" customHeight="1" x14ac:dyDescent="0.2">
      <c r="A166" s="45" t="s">
        <v>1115</v>
      </c>
      <c r="B166" s="214" t="s">
        <v>157</v>
      </c>
      <c r="C166" s="214"/>
      <c r="D166" s="214"/>
      <c r="E166" s="214"/>
      <c r="F166" s="43" t="s">
        <v>865</v>
      </c>
    </row>
    <row r="167" spans="1:6" ht="14.25" hidden="1" customHeight="1" x14ac:dyDescent="0.2">
      <c r="A167" s="215" t="s">
        <v>1116</v>
      </c>
      <c r="B167" s="216"/>
      <c r="C167" s="216"/>
      <c r="D167" s="216"/>
      <c r="E167" s="62" t="e">
        <f>#REF!</f>
        <v>#REF!</v>
      </c>
    </row>
    <row r="168" spans="1:6" ht="14.25" hidden="1" customHeight="1" x14ac:dyDescent="0.2">
      <c r="A168" s="215" t="s">
        <v>1117</v>
      </c>
      <c r="B168" s="216"/>
      <c r="C168" s="216"/>
      <c r="D168" s="216"/>
      <c r="E168" s="62">
        <v>249</v>
      </c>
    </row>
    <row r="169" spans="1:6" ht="14.25" hidden="1" customHeight="1" x14ac:dyDescent="0.2">
      <c r="A169" s="217" t="s">
        <v>1133</v>
      </c>
      <c r="B169" s="218"/>
      <c r="C169" s="218"/>
      <c r="D169" s="218"/>
      <c r="E169" s="69" t="e">
        <f>E168-E167</f>
        <v>#REF!</v>
      </c>
    </row>
    <row r="170" spans="1:6" ht="14.25" hidden="1" customHeight="1" x14ac:dyDescent="0.2">
      <c r="A170" s="219" t="s">
        <v>1118</v>
      </c>
      <c r="B170" s="220"/>
      <c r="C170" s="220"/>
      <c r="D170" s="220"/>
      <c r="E170" s="63" t="e">
        <f>E167</f>
        <v>#REF!</v>
      </c>
    </row>
    <row r="171" spans="1:6" hidden="1" x14ac:dyDescent="0.2">
      <c r="A171" s="60"/>
      <c r="B171" s="91"/>
      <c r="C171" s="91"/>
      <c r="E171" s="61"/>
    </row>
    <row r="172" spans="1:6" s="43" customFormat="1" ht="30" hidden="1" customHeight="1" x14ac:dyDescent="0.2">
      <c r="A172" s="45" t="s">
        <v>1119</v>
      </c>
      <c r="B172" s="214" t="s">
        <v>159</v>
      </c>
      <c r="C172" s="214"/>
      <c r="D172" s="214"/>
      <c r="E172" s="214"/>
      <c r="F172" s="43" t="s">
        <v>865</v>
      </c>
    </row>
    <row r="173" spans="1:6" ht="14.25" hidden="1" customHeight="1" x14ac:dyDescent="0.2">
      <c r="A173" s="215" t="s">
        <v>1120</v>
      </c>
      <c r="B173" s="216"/>
      <c r="C173" s="216"/>
      <c r="D173" s="216"/>
      <c r="E173" s="62" t="e">
        <f>#REF!</f>
        <v>#REF!</v>
      </c>
    </row>
    <row r="174" spans="1:6" ht="14.25" hidden="1" customHeight="1" x14ac:dyDescent="0.2">
      <c r="A174" s="215" t="s">
        <v>1121</v>
      </c>
      <c r="B174" s="216"/>
      <c r="C174" s="216"/>
      <c r="D174" s="216"/>
      <c r="E174" s="62">
        <v>504.04</v>
      </c>
    </row>
    <row r="175" spans="1:6" ht="14.25" hidden="1" customHeight="1" x14ac:dyDescent="0.2">
      <c r="A175" s="219" t="s">
        <v>1134</v>
      </c>
      <c r="B175" s="220"/>
      <c r="C175" s="220"/>
      <c r="D175" s="220"/>
      <c r="E175" s="63">
        <v>0</v>
      </c>
    </row>
    <row r="176" spans="1:6" ht="14.25" hidden="1" customHeight="1" x14ac:dyDescent="0.2">
      <c r="A176" s="219" t="s">
        <v>1122</v>
      </c>
      <c r="B176" s="220"/>
      <c r="C176" s="220"/>
      <c r="D176" s="220"/>
      <c r="E176" s="63" t="e">
        <f>E173</f>
        <v>#REF!</v>
      </c>
    </row>
    <row r="177" spans="1:6" hidden="1" x14ac:dyDescent="0.2">
      <c r="A177" s="60"/>
      <c r="B177" s="91"/>
      <c r="C177" s="91"/>
      <c r="E177" s="61"/>
    </row>
    <row r="178" spans="1:6" s="43" customFormat="1" ht="30" hidden="1" customHeight="1" x14ac:dyDescent="0.2">
      <c r="A178" s="45" t="s">
        <v>1123</v>
      </c>
      <c r="B178" s="214" t="s">
        <v>161</v>
      </c>
      <c r="C178" s="214"/>
      <c r="D178" s="214"/>
      <c r="E178" s="214"/>
      <c r="F178" s="43" t="s">
        <v>865</v>
      </c>
    </row>
    <row r="179" spans="1:6" ht="14.25" hidden="1" customHeight="1" x14ac:dyDescent="0.2">
      <c r="A179" s="215" t="s">
        <v>1128</v>
      </c>
      <c r="B179" s="216"/>
      <c r="C179" s="216"/>
      <c r="D179" s="216"/>
      <c r="E179" s="62" t="e">
        <f>#REF!</f>
        <v>#REF!</v>
      </c>
    </row>
    <row r="180" spans="1:6" ht="14.25" hidden="1" customHeight="1" x14ac:dyDescent="0.2">
      <c r="A180" s="215" t="s">
        <v>1124</v>
      </c>
      <c r="B180" s="216"/>
      <c r="C180" s="216"/>
      <c r="D180" s="216"/>
      <c r="E180" s="62">
        <v>168.34</v>
      </c>
    </row>
    <row r="181" spans="1:6" ht="14.25" hidden="1" customHeight="1" x14ac:dyDescent="0.2">
      <c r="A181" s="217" t="s">
        <v>1127</v>
      </c>
      <c r="B181" s="218"/>
      <c r="C181" s="218"/>
      <c r="D181" s="218"/>
      <c r="E181" s="69">
        <v>0</v>
      </c>
    </row>
    <row r="182" spans="1:6" ht="14.25" hidden="1" customHeight="1" x14ac:dyDescent="0.2">
      <c r="A182" s="219" t="s">
        <v>1127</v>
      </c>
      <c r="B182" s="220"/>
      <c r="C182" s="220"/>
      <c r="D182" s="220"/>
      <c r="E182" s="63" t="e">
        <f>E179</f>
        <v>#REF!</v>
      </c>
    </row>
    <row r="183" spans="1:6" hidden="1" x14ac:dyDescent="0.2">
      <c r="A183" s="60"/>
      <c r="B183" s="91"/>
      <c r="C183" s="91"/>
      <c r="E183" s="61"/>
    </row>
    <row r="184" spans="1:6" s="43" customFormat="1" ht="45" hidden="1" customHeight="1" x14ac:dyDescent="0.2">
      <c r="A184" s="45" t="s">
        <v>1125</v>
      </c>
      <c r="B184" s="214" t="s">
        <v>165</v>
      </c>
      <c r="C184" s="214"/>
      <c r="D184" s="214"/>
      <c r="E184" s="214"/>
      <c r="F184" s="43" t="s">
        <v>865</v>
      </c>
    </row>
    <row r="185" spans="1:6" ht="14.25" hidden="1" customHeight="1" x14ac:dyDescent="0.2">
      <c r="A185" s="215" t="s">
        <v>1129</v>
      </c>
      <c r="B185" s="216"/>
      <c r="C185" s="216"/>
      <c r="D185" s="216"/>
      <c r="E185" s="62" t="e">
        <f>#REF!</f>
        <v>#REF!</v>
      </c>
    </row>
    <row r="186" spans="1:6" ht="14.25" hidden="1" customHeight="1" x14ac:dyDescent="0.2">
      <c r="A186" s="215" t="s">
        <v>1126</v>
      </c>
      <c r="B186" s="216"/>
      <c r="C186" s="216"/>
      <c r="D186" s="216"/>
      <c r="E186" s="62">
        <v>260</v>
      </c>
    </row>
    <row r="187" spans="1:6" ht="14.25" hidden="1" customHeight="1" x14ac:dyDescent="0.2">
      <c r="A187" s="217" t="s">
        <v>1132</v>
      </c>
      <c r="B187" s="218"/>
      <c r="C187" s="218"/>
      <c r="D187" s="218"/>
      <c r="E187" s="69">
        <v>0</v>
      </c>
    </row>
    <row r="188" spans="1:6" ht="14.25" hidden="1" customHeight="1" x14ac:dyDescent="0.2">
      <c r="A188" s="219" t="s">
        <v>1130</v>
      </c>
      <c r="B188" s="220"/>
      <c r="C188" s="220"/>
      <c r="D188" s="220"/>
      <c r="E188" s="63">
        <v>260</v>
      </c>
    </row>
    <row r="189" spans="1:6" hidden="1" x14ac:dyDescent="0.2">
      <c r="A189" s="60"/>
      <c r="B189" s="91"/>
      <c r="C189" s="91"/>
      <c r="E189" s="61"/>
    </row>
    <row r="190" spans="1:6" s="43" customFormat="1" ht="45" hidden="1" customHeight="1" x14ac:dyDescent="0.2">
      <c r="A190" s="45" t="s">
        <v>1131</v>
      </c>
      <c r="B190" s="214" t="s">
        <v>171</v>
      </c>
      <c r="C190" s="214"/>
      <c r="D190" s="214"/>
      <c r="E190" s="214"/>
      <c r="F190" s="43" t="s">
        <v>865</v>
      </c>
    </row>
    <row r="191" spans="1:6" ht="14.25" hidden="1" customHeight="1" x14ac:dyDescent="0.2">
      <c r="A191" s="215" t="s">
        <v>1135</v>
      </c>
      <c r="B191" s="216"/>
      <c r="C191" s="216"/>
      <c r="D191" s="216"/>
      <c r="E191" s="62" t="e">
        <f>#REF!</f>
        <v>#REF!</v>
      </c>
    </row>
    <row r="192" spans="1:6" ht="14.25" hidden="1" customHeight="1" x14ac:dyDescent="0.2">
      <c r="A192" s="215" t="s">
        <v>1136</v>
      </c>
      <c r="B192" s="216"/>
      <c r="C192" s="216"/>
      <c r="D192" s="216"/>
      <c r="E192" s="62">
        <v>59.58</v>
      </c>
    </row>
    <row r="193" spans="1:6" ht="14.25" hidden="1" customHeight="1" x14ac:dyDescent="0.2">
      <c r="A193" s="217" t="s">
        <v>1137</v>
      </c>
      <c r="B193" s="218"/>
      <c r="C193" s="218"/>
      <c r="D193" s="218"/>
      <c r="E193" s="69">
        <v>0</v>
      </c>
    </row>
    <row r="194" spans="1:6" ht="14.25" hidden="1" customHeight="1" x14ac:dyDescent="0.2">
      <c r="A194" s="219" t="s">
        <v>1138</v>
      </c>
      <c r="B194" s="220"/>
      <c r="C194" s="220"/>
      <c r="D194" s="220"/>
      <c r="E194" s="63" t="e">
        <f>E191</f>
        <v>#REF!</v>
      </c>
    </row>
    <row r="195" spans="1:6" hidden="1" x14ac:dyDescent="0.2">
      <c r="A195" s="60"/>
      <c r="B195" s="91"/>
      <c r="C195" s="91"/>
      <c r="E195" s="61"/>
    </row>
    <row r="196" spans="1:6" ht="17.25" hidden="1" customHeight="1" x14ac:dyDescent="0.2">
      <c r="A196" s="123" t="s">
        <v>1214</v>
      </c>
      <c r="B196" s="230" t="s">
        <v>174</v>
      </c>
      <c r="C196" s="231"/>
      <c r="D196" s="231"/>
      <c r="E196" s="232"/>
    </row>
    <row r="197" spans="1:6" s="43" customFormat="1" ht="30" hidden="1" customHeight="1" x14ac:dyDescent="0.2">
      <c r="A197" s="45" t="s">
        <v>1215</v>
      </c>
      <c r="B197" s="214" t="s">
        <v>180</v>
      </c>
      <c r="C197" s="214"/>
      <c r="D197" s="214"/>
      <c r="E197" s="214"/>
      <c r="F197" s="43" t="s">
        <v>865</v>
      </c>
    </row>
    <row r="198" spans="1:6" ht="14.25" hidden="1" customHeight="1" x14ac:dyDescent="0.2">
      <c r="A198" s="215" t="s">
        <v>1216</v>
      </c>
      <c r="B198" s="216"/>
      <c r="C198" s="216"/>
      <c r="D198" s="216"/>
      <c r="E198" s="62" t="e">
        <f>#REF!</f>
        <v>#REF!</v>
      </c>
    </row>
    <row r="199" spans="1:6" ht="14.25" hidden="1" customHeight="1" x14ac:dyDescent="0.2">
      <c r="A199" s="215" t="s">
        <v>1217</v>
      </c>
      <c r="B199" s="216"/>
      <c r="C199" s="216"/>
      <c r="D199" s="216"/>
      <c r="E199" s="62">
        <v>3098.11</v>
      </c>
    </row>
    <row r="200" spans="1:6" ht="14.25" hidden="1" customHeight="1" x14ac:dyDescent="0.2">
      <c r="A200" s="217" t="s">
        <v>1218</v>
      </c>
      <c r="B200" s="218"/>
      <c r="C200" s="218"/>
      <c r="D200" s="218"/>
      <c r="E200" s="69">
        <v>0</v>
      </c>
    </row>
    <row r="201" spans="1:6" ht="14.25" hidden="1" customHeight="1" x14ac:dyDescent="0.2">
      <c r="A201" s="219" t="s">
        <v>1219</v>
      </c>
      <c r="B201" s="220"/>
      <c r="C201" s="220"/>
      <c r="D201" s="220"/>
      <c r="E201" s="63" t="e">
        <f>E198</f>
        <v>#REF!</v>
      </c>
    </row>
    <row r="202" spans="1:6" hidden="1" x14ac:dyDescent="0.2">
      <c r="A202" s="60"/>
      <c r="B202" s="91"/>
      <c r="C202" s="91"/>
      <c r="E202" s="61"/>
    </row>
    <row r="203" spans="1:6" s="43" customFormat="1" ht="32.25" customHeight="1" x14ac:dyDescent="0.2">
      <c r="A203" s="45" t="s">
        <v>1553</v>
      </c>
      <c r="B203" s="214" t="s">
        <v>143</v>
      </c>
      <c r="C203" s="214"/>
      <c r="D203" s="214"/>
      <c r="E203" s="214"/>
      <c r="F203" s="71" t="s">
        <v>865</v>
      </c>
    </row>
    <row r="204" spans="1:6" ht="14.25" customHeight="1" x14ac:dyDescent="0.2">
      <c r="A204" s="215" t="s">
        <v>1554</v>
      </c>
      <c r="B204" s="216"/>
      <c r="C204" s="216"/>
      <c r="D204" s="216"/>
      <c r="E204" s="62">
        <f>'6.0'!F61</f>
        <v>75</v>
      </c>
    </row>
    <row r="205" spans="1:6" ht="14.25" customHeight="1" x14ac:dyDescent="0.2">
      <c r="A205" s="215" t="s">
        <v>1558</v>
      </c>
      <c r="B205" s="216"/>
      <c r="C205" s="216"/>
      <c r="D205" s="216"/>
      <c r="E205" s="62">
        <v>182.58</v>
      </c>
    </row>
    <row r="206" spans="1:6" ht="14.25" customHeight="1" x14ac:dyDescent="0.2">
      <c r="A206" s="217" t="s">
        <v>1559</v>
      </c>
      <c r="B206" s="218"/>
      <c r="C206" s="218"/>
      <c r="D206" s="218"/>
      <c r="E206" s="69">
        <v>0</v>
      </c>
    </row>
    <row r="207" spans="1:6" ht="14.25" customHeight="1" x14ac:dyDescent="0.2">
      <c r="A207" s="219" t="s">
        <v>1560</v>
      </c>
      <c r="B207" s="220"/>
      <c r="C207" s="220"/>
      <c r="D207" s="220"/>
      <c r="E207" s="63">
        <f>E204</f>
        <v>75</v>
      </c>
    </row>
    <row r="208" spans="1:6" x14ac:dyDescent="0.2">
      <c r="A208" s="60"/>
      <c r="B208" s="91"/>
      <c r="C208" s="91"/>
      <c r="E208" s="61"/>
    </row>
    <row r="209" spans="1:6" ht="17.25" customHeight="1" x14ac:dyDescent="0.2">
      <c r="A209" s="44" t="s">
        <v>1204</v>
      </c>
      <c r="B209" s="221" t="s">
        <v>145</v>
      </c>
      <c r="C209" s="221"/>
      <c r="D209" s="221"/>
      <c r="E209" s="221"/>
    </row>
    <row r="210" spans="1:6" s="43" customFormat="1" ht="30" customHeight="1" x14ac:dyDescent="0.2">
      <c r="A210" s="45" t="s">
        <v>1205</v>
      </c>
      <c r="B210" s="214" t="s">
        <v>147</v>
      </c>
      <c r="C210" s="214"/>
      <c r="D210" s="214"/>
      <c r="E210" s="214"/>
      <c r="F210" s="71" t="s">
        <v>865</v>
      </c>
    </row>
    <row r="211" spans="1:6" ht="14.25" customHeight="1" x14ac:dyDescent="0.2">
      <c r="A211" s="215" t="s">
        <v>1206</v>
      </c>
      <c r="B211" s="216"/>
      <c r="C211" s="216"/>
      <c r="D211" s="216"/>
      <c r="E211" s="62">
        <f>'7.0'!E107</f>
        <v>753.89</v>
      </c>
    </row>
    <row r="212" spans="1:6" ht="14.25" customHeight="1" x14ac:dyDescent="0.2">
      <c r="A212" s="215" t="s">
        <v>1209</v>
      </c>
      <c r="B212" s="216"/>
      <c r="C212" s="216"/>
      <c r="D212" s="216"/>
      <c r="E212" s="62">
        <v>942.37</v>
      </c>
    </row>
    <row r="213" spans="1:6" ht="14.25" customHeight="1" x14ac:dyDescent="0.2">
      <c r="A213" s="217" t="s">
        <v>1655</v>
      </c>
      <c r="B213" s="218"/>
      <c r="C213" s="218"/>
      <c r="D213" s="218"/>
      <c r="E213" s="69">
        <v>565.41999999999996</v>
      </c>
    </row>
    <row r="214" spans="1:6" ht="14.25" customHeight="1" x14ac:dyDescent="0.2">
      <c r="A214" s="219" t="s">
        <v>1656</v>
      </c>
      <c r="B214" s="220"/>
      <c r="C214" s="220"/>
      <c r="D214" s="220"/>
      <c r="E214" s="63">
        <f>E211-E213</f>
        <v>188.47000000000003</v>
      </c>
    </row>
    <row r="215" spans="1:6" x14ac:dyDescent="0.2">
      <c r="A215" s="60"/>
      <c r="B215" s="91"/>
      <c r="C215" s="91"/>
      <c r="E215" s="61"/>
    </row>
    <row r="216" spans="1:6" s="43" customFormat="1" ht="30" customHeight="1" x14ac:dyDescent="0.2">
      <c r="A216" s="45" t="s">
        <v>1257</v>
      </c>
      <c r="B216" s="214" t="s">
        <v>151</v>
      </c>
      <c r="C216" s="214"/>
      <c r="D216" s="214"/>
      <c r="E216" s="214"/>
      <c r="F216" s="71" t="s">
        <v>865</v>
      </c>
    </row>
    <row r="217" spans="1:6" ht="14.25" customHeight="1" x14ac:dyDescent="0.2">
      <c r="A217" s="215" t="s">
        <v>1210</v>
      </c>
      <c r="B217" s="216"/>
      <c r="C217" s="216"/>
      <c r="D217" s="216"/>
      <c r="E217" s="62">
        <f>'7.0'!E115</f>
        <v>565.41</v>
      </c>
    </row>
    <row r="218" spans="1:6" ht="14.25" customHeight="1" x14ac:dyDescent="0.2">
      <c r="A218" s="215" t="s">
        <v>1211</v>
      </c>
      <c r="B218" s="216"/>
      <c r="C218" s="216"/>
      <c r="D218" s="216"/>
      <c r="E218" s="62">
        <v>706.77</v>
      </c>
    </row>
    <row r="219" spans="1:6" ht="14.25" customHeight="1" x14ac:dyDescent="0.2">
      <c r="A219" s="217" t="s">
        <v>1657</v>
      </c>
      <c r="B219" s="218"/>
      <c r="C219" s="218"/>
      <c r="D219" s="218"/>
      <c r="E219" s="69">
        <v>424.06</v>
      </c>
    </row>
    <row r="220" spans="1:6" ht="14.25" customHeight="1" x14ac:dyDescent="0.2">
      <c r="A220" s="219" t="s">
        <v>1658</v>
      </c>
      <c r="B220" s="220"/>
      <c r="C220" s="220"/>
      <c r="D220" s="220"/>
      <c r="E220" s="63">
        <f>E217-E219</f>
        <v>141.34999999999997</v>
      </c>
    </row>
    <row r="221" spans="1:6" x14ac:dyDescent="0.2">
      <c r="A221" s="60"/>
      <c r="B221" s="91"/>
      <c r="C221" s="91"/>
      <c r="E221" s="61"/>
    </row>
    <row r="222" spans="1:6" ht="17.25" customHeight="1" x14ac:dyDescent="0.2">
      <c r="A222" s="44" t="s">
        <v>1113</v>
      </c>
      <c r="B222" s="221" t="s">
        <v>153</v>
      </c>
      <c r="C222" s="221"/>
      <c r="D222" s="221"/>
      <c r="E222" s="221"/>
    </row>
    <row r="223" spans="1:6" ht="17.25" customHeight="1" x14ac:dyDescent="0.2">
      <c r="A223" s="123" t="s">
        <v>1214</v>
      </c>
      <c r="B223" s="230" t="s">
        <v>174</v>
      </c>
      <c r="C223" s="231"/>
      <c r="D223" s="231"/>
      <c r="E223" s="232"/>
    </row>
    <row r="224" spans="1:6" s="43" customFormat="1" ht="30" customHeight="1" x14ac:dyDescent="0.2">
      <c r="A224" s="45" t="s">
        <v>1215</v>
      </c>
      <c r="B224" s="214" t="s">
        <v>180</v>
      </c>
      <c r="C224" s="214"/>
      <c r="D224" s="214"/>
      <c r="E224" s="214"/>
      <c r="F224" s="43" t="s">
        <v>865</v>
      </c>
    </row>
    <row r="225" spans="1:5" ht="14.25" customHeight="1" x14ac:dyDescent="0.2">
      <c r="A225" s="215" t="s">
        <v>1216</v>
      </c>
      <c r="B225" s="216"/>
      <c r="C225" s="216"/>
      <c r="D225" s="216"/>
      <c r="E225" s="62">
        <f>'8.0'!E60</f>
        <v>2489.2399999999998</v>
      </c>
    </row>
    <row r="226" spans="1:5" ht="14.25" customHeight="1" x14ac:dyDescent="0.2">
      <c r="A226" s="215" t="s">
        <v>1217</v>
      </c>
      <c r="B226" s="216"/>
      <c r="C226" s="216"/>
      <c r="D226" s="216"/>
      <c r="E226" s="62">
        <v>3098.11</v>
      </c>
    </row>
    <row r="227" spans="1:5" ht="14.25" customHeight="1" x14ac:dyDescent="0.2">
      <c r="A227" s="217" t="s">
        <v>1676</v>
      </c>
      <c r="B227" s="218"/>
      <c r="C227" s="218"/>
      <c r="D227" s="218"/>
      <c r="E227" s="69">
        <v>1250</v>
      </c>
    </row>
    <row r="228" spans="1:5" ht="14.25" customHeight="1" x14ac:dyDescent="0.2">
      <c r="A228" s="219" t="s">
        <v>1677</v>
      </c>
      <c r="B228" s="220"/>
      <c r="C228" s="220"/>
      <c r="D228" s="220"/>
      <c r="E228" s="63">
        <f>E225-E227</f>
        <v>1239.2399999999998</v>
      </c>
    </row>
    <row r="229" spans="1:5" x14ac:dyDescent="0.2">
      <c r="A229" s="60"/>
      <c r="B229" s="91"/>
      <c r="C229" s="91"/>
      <c r="E229" s="61"/>
    </row>
    <row r="230" spans="1:5" ht="17.25" customHeight="1" x14ac:dyDescent="0.2">
      <c r="A230" s="44" t="s">
        <v>872</v>
      </c>
      <c r="B230" s="221" t="s">
        <v>182</v>
      </c>
      <c r="C230" s="221"/>
      <c r="D230" s="221"/>
      <c r="E230" s="221"/>
    </row>
    <row r="231" spans="1:5" ht="17.25" customHeight="1" x14ac:dyDescent="0.2">
      <c r="A231" s="68" t="s">
        <v>873</v>
      </c>
      <c r="B231" s="224" t="s">
        <v>184</v>
      </c>
      <c r="C231" s="224"/>
      <c r="D231" s="224"/>
      <c r="E231" s="224"/>
    </row>
    <row r="232" spans="1:5" s="43" customFormat="1" ht="40.5" hidden="1" customHeight="1" x14ac:dyDescent="0.2">
      <c r="A232" s="45" t="s">
        <v>874</v>
      </c>
      <c r="B232" s="214" t="s">
        <v>186</v>
      </c>
      <c r="C232" s="214"/>
      <c r="D232" s="214"/>
      <c r="E232" s="214"/>
    </row>
    <row r="233" spans="1:5" ht="14.25" hidden="1" customHeight="1" x14ac:dyDescent="0.2">
      <c r="A233" s="215" t="s">
        <v>876</v>
      </c>
      <c r="B233" s="216"/>
      <c r="C233" s="216"/>
      <c r="D233" s="216"/>
      <c r="E233" s="62" t="e">
        <f>#REF!</f>
        <v>#REF!</v>
      </c>
    </row>
    <row r="234" spans="1:5" ht="14.25" hidden="1" customHeight="1" x14ac:dyDescent="0.2">
      <c r="A234" s="215" t="s">
        <v>877</v>
      </c>
      <c r="B234" s="216"/>
      <c r="C234" s="216"/>
      <c r="D234" s="216"/>
      <c r="E234" s="62">
        <f>Planilha!D108</f>
        <v>3991.37</v>
      </c>
    </row>
    <row r="235" spans="1:5" ht="14.25" hidden="1" customHeight="1" x14ac:dyDescent="0.2">
      <c r="A235" s="217" t="s">
        <v>928</v>
      </c>
      <c r="B235" s="218"/>
      <c r="C235" s="218"/>
      <c r="D235" s="218"/>
      <c r="E235" s="69">
        <v>2573.87</v>
      </c>
    </row>
    <row r="236" spans="1:5" ht="14.25" hidden="1" customHeight="1" x14ac:dyDescent="0.2">
      <c r="A236" s="219" t="s">
        <v>929</v>
      </c>
      <c r="B236" s="220"/>
      <c r="C236" s="220"/>
      <c r="D236" s="220"/>
      <c r="E236" s="63">
        <f>E234-E235</f>
        <v>1417.5</v>
      </c>
    </row>
    <row r="237" spans="1:5" ht="14.25" hidden="1" customHeight="1" x14ac:dyDescent="0.2">
      <c r="A237" s="233" t="s">
        <v>932</v>
      </c>
      <c r="B237" s="234"/>
      <c r="C237" s="234"/>
      <c r="D237" s="234"/>
      <c r="E237" s="93" t="e">
        <f>E234-E233</f>
        <v>#REF!</v>
      </c>
    </row>
    <row r="238" spans="1:5" hidden="1" x14ac:dyDescent="0.2">
      <c r="A238" s="60"/>
      <c r="B238" s="91"/>
      <c r="C238" s="91"/>
      <c r="E238" s="61"/>
    </row>
    <row r="239" spans="1:5" s="43" customFormat="1" ht="42.75" hidden="1" customHeight="1" x14ac:dyDescent="0.2">
      <c r="A239" s="45" t="s">
        <v>875</v>
      </c>
      <c r="B239" s="214" t="s">
        <v>188</v>
      </c>
      <c r="C239" s="214"/>
      <c r="D239" s="214"/>
      <c r="E239" s="214"/>
    </row>
    <row r="240" spans="1:5" ht="14.25" hidden="1" customHeight="1" x14ac:dyDescent="0.2">
      <c r="A240" s="215" t="s">
        <v>878</v>
      </c>
      <c r="B240" s="216"/>
      <c r="C240" s="216"/>
      <c r="D240" s="216"/>
      <c r="E240" s="62" t="e">
        <f>#REF!</f>
        <v>#REF!</v>
      </c>
    </row>
    <row r="241" spans="1:6" ht="14.25" hidden="1" customHeight="1" x14ac:dyDescent="0.2">
      <c r="A241" s="215" t="s">
        <v>879</v>
      </c>
      <c r="B241" s="216"/>
      <c r="C241" s="216"/>
      <c r="D241" s="216"/>
      <c r="E241" s="62">
        <f>Planilha!D109</f>
        <v>3991.37</v>
      </c>
    </row>
    <row r="242" spans="1:6" ht="14.25" hidden="1" customHeight="1" x14ac:dyDescent="0.2">
      <c r="A242" s="217" t="s">
        <v>930</v>
      </c>
      <c r="B242" s="218"/>
      <c r="C242" s="218"/>
      <c r="D242" s="218"/>
      <c r="E242" s="69">
        <v>2573.87</v>
      </c>
    </row>
    <row r="243" spans="1:6" ht="14.25" hidden="1" customHeight="1" x14ac:dyDescent="0.2">
      <c r="A243" s="219" t="s">
        <v>931</v>
      </c>
      <c r="B243" s="220"/>
      <c r="C243" s="220"/>
      <c r="D243" s="220"/>
      <c r="E243" s="63">
        <f>E241-E242</f>
        <v>1417.5</v>
      </c>
    </row>
    <row r="244" spans="1:6" ht="14.25" hidden="1" customHeight="1" x14ac:dyDescent="0.2">
      <c r="A244" s="233" t="s">
        <v>933</v>
      </c>
      <c r="B244" s="234"/>
      <c r="C244" s="234"/>
      <c r="D244" s="234"/>
      <c r="E244" s="93" t="e">
        <f>E241-E240</f>
        <v>#REF!</v>
      </c>
    </row>
    <row r="245" spans="1:6" hidden="1" x14ac:dyDescent="0.2">
      <c r="A245" s="65"/>
      <c r="B245" s="46"/>
      <c r="C245" s="46"/>
      <c r="D245" s="46"/>
      <c r="E245" s="66"/>
    </row>
    <row r="246" spans="1:6" s="43" customFormat="1" ht="40.5" hidden="1" customHeight="1" x14ac:dyDescent="0.2">
      <c r="A246" s="45" t="s">
        <v>966</v>
      </c>
      <c r="B246" s="214" t="s">
        <v>190</v>
      </c>
      <c r="C246" s="214"/>
      <c r="D246" s="214"/>
      <c r="E246" s="214"/>
      <c r="F246" s="43" t="s">
        <v>865</v>
      </c>
    </row>
    <row r="247" spans="1:6" ht="14.25" hidden="1" customHeight="1" x14ac:dyDescent="0.2">
      <c r="A247" s="215" t="s">
        <v>970</v>
      </c>
      <c r="B247" s="216"/>
      <c r="C247" s="216"/>
      <c r="D247" s="216"/>
      <c r="E247" s="62">
        <v>1001.765</v>
      </c>
    </row>
    <row r="248" spans="1:6" ht="14.25" hidden="1" customHeight="1" x14ac:dyDescent="0.2">
      <c r="A248" s="215" t="s">
        <v>967</v>
      </c>
      <c r="B248" s="216"/>
      <c r="C248" s="216"/>
      <c r="D248" s="216"/>
      <c r="E248" s="62">
        <v>1001.76</v>
      </c>
    </row>
    <row r="249" spans="1:6" ht="14.25" hidden="1" customHeight="1" x14ac:dyDescent="0.2">
      <c r="A249" s="217" t="s">
        <v>1296</v>
      </c>
      <c r="B249" s="218"/>
      <c r="C249" s="218"/>
      <c r="D249" s="218"/>
      <c r="E249" s="69">
        <v>374.53</v>
      </c>
    </row>
    <row r="250" spans="1:6" ht="14.25" hidden="1" customHeight="1" x14ac:dyDescent="0.2">
      <c r="A250" s="219" t="s">
        <v>1297</v>
      </c>
      <c r="B250" s="220"/>
      <c r="C250" s="220"/>
      <c r="D250" s="220"/>
      <c r="E250" s="63">
        <f>E247-E249</f>
        <v>627.23500000000001</v>
      </c>
    </row>
    <row r="251" spans="1:6" hidden="1" x14ac:dyDescent="0.2">
      <c r="A251" s="60"/>
      <c r="B251" s="91"/>
      <c r="C251" s="91"/>
      <c r="E251" s="61"/>
    </row>
    <row r="252" spans="1:6" s="43" customFormat="1" ht="21" customHeight="1" x14ac:dyDescent="0.2">
      <c r="A252" s="45" t="s">
        <v>1561</v>
      </c>
      <c r="B252" s="214" t="s">
        <v>192</v>
      </c>
      <c r="C252" s="214"/>
      <c r="D252" s="214"/>
      <c r="E252" s="214"/>
      <c r="F252" s="71" t="s">
        <v>865</v>
      </c>
    </row>
    <row r="253" spans="1:6" ht="14.25" customHeight="1" x14ac:dyDescent="0.2">
      <c r="A253" s="215" t="s">
        <v>1563</v>
      </c>
      <c r="B253" s="216"/>
      <c r="C253" s="216"/>
      <c r="D253" s="216"/>
      <c r="E253" s="62">
        <f>'9.0'!E179</f>
        <v>950</v>
      </c>
    </row>
    <row r="254" spans="1:6" ht="14.25" customHeight="1" x14ac:dyDescent="0.2">
      <c r="A254" s="215" t="s">
        <v>1564</v>
      </c>
      <c r="B254" s="216"/>
      <c r="C254" s="216"/>
      <c r="D254" s="216"/>
      <c r="E254" s="62">
        <v>1947.7</v>
      </c>
    </row>
    <row r="255" spans="1:6" ht="14.25" customHeight="1" x14ac:dyDescent="0.2">
      <c r="A255" s="217" t="s">
        <v>1565</v>
      </c>
      <c r="B255" s="218"/>
      <c r="C255" s="218"/>
      <c r="D255" s="218"/>
      <c r="E255" s="69">
        <v>0</v>
      </c>
    </row>
    <row r="256" spans="1:6" ht="14.25" customHeight="1" x14ac:dyDescent="0.2">
      <c r="A256" s="219" t="s">
        <v>1566</v>
      </c>
      <c r="B256" s="220"/>
      <c r="C256" s="220"/>
      <c r="D256" s="220"/>
      <c r="E256" s="63">
        <f>E253-E255</f>
        <v>950</v>
      </c>
    </row>
    <row r="257" spans="1:6" x14ac:dyDescent="0.2">
      <c r="A257" s="60"/>
      <c r="B257" s="91"/>
      <c r="C257" s="91"/>
      <c r="E257" s="61"/>
    </row>
    <row r="258" spans="1:6" ht="17.25" customHeight="1" x14ac:dyDescent="0.2">
      <c r="A258" s="68" t="s">
        <v>934</v>
      </c>
      <c r="B258" s="224" t="s">
        <v>194</v>
      </c>
      <c r="C258" s="224"/>
      <c r="D258" s="224"/>
      <c r="E258" s="224"/>
    </row>
    <row r="259" spans="1:6" s="43" customFormat="1" ht="42.75" customHeight="1" x14ac:dyDescent="0.2">
      <c r="A259" s="45" t="s">
        <v>935</v>
      </c>
      <c r="B259" s="214" t="s">
        <v>196</v>
      </c>
      <c r="C259" s="214"/>
      <c r="D259" s="214"/>
      <c r="E259" s="214"/>
      <c r="F259" s="71" t="s">
        <v>865</v>
      </c>
    </row>
    <row r="260" spans="1:6" ht="14.25" customHeight="1" x14ac:dyDescent="0.2">
      <c r="A260" s="215" t="s">
        <v>971</v>
      </c>
      <c r="B260" s="216"/>
      <c r="C260" s="216"/>
      <c r="D260" s="216"/>
      <c r="E260" s="62">
        <f>'9.0'!E202</f>
        <v>3170.1469999999995</v>
      </c>
    </row>
    <row r="261" spans="1:6" ht="14.25" customHeight="1" x14ac:dyDescent="0.2">
      <c r="A261" s="215" t="s">
        <v>972</v>
      </c>
      <c r="B261" s="216"/>
      <c r="C261" s="216"/>
      <c r="D261" s="216"/>
      <c r="E261" s="62">
        <v>3121.87</v>
      </c>
    </row>
    <row r="262" spans="1:6" ht="14.25" customHeight="1" x14ac:dyDescent="0.2">
      <c r="A262" s="217" t="s">
        <v>1447</v>
      </c>
      <c r="B262" s="218"/>
      <c r="C262" s="218"/>
      <c r="D262" s="218"/>
      <c r="E262" s="69">
        <v>2709.27</v>
      </c>
    </row>
    <row r="263" spans="1:6" ht="14.25" customHeight="1" x14ac:dyDescent="0.2">
      <c r="A263" s="219" t="s">
        <v>1448</v>
      </c>
      <c r="B263" s="220"/>
      <c r="C263" s="220"/>
      <c r="D263" s="220"/>
      <c r="E263" s="63">
        <f>E261-E262</f>
        <v>412.59999999999991</v>
      </c>
    </row>
    <row r="264" spans="1:6" ht="14.25" customHeight="1" x14ac:dyDescent="0.2">
      <c r="A264" s="233" t="s">
        <v>1446</v>
      </c>
      <c r="B264" s="234"/>
      <c r="C264" s="234"/>
      <c r="D264" s="234"/>
      <c r="E264" s="93">
        <f>E261-E260</f>
        <v>-48.276999999999589</v>
      </c>
    </row>
    <row r="265" spans="1:6" x14ac:dyDescent="0.2">
      <c r="A265" s="65"/>
      <c r="B265" s="46"/>
      <c r="C265" s="46"/>
      <c r="D265" s="46"/>
      <c r="E265" s="66"/>
    </row>
    <row r="266" spans="1:6" s="43" customFormat="1" ht="42.75" customHeight="1" x14ac:dyDescent="0.2">
      <c r="A266" s="45" t="s">
        <v>936</v>
      </c>
      <c r="B266" s="214" t="s">
        <v>198</v>
      </c>
      <c r="C266" s="214"/>
      <c r="D266" s="214"/>
      <c r="E266" s="214"/>
      <c r="F266" s="71" t="s">
        <v>865</v>
      </c>
    </row>
    <row r="267" spans="1:6" ht="14.25" customHeight="1" x14ac:dyDescent="0.2">
      <c r="A267" s="215" t="s">
        <v>876</v>
      </c>
      <c r="B267" s="216"/>
      <c r="C267" s="216"/>
      <c r="D267" s="216"/>
      <c r="E267" s="62">
        <f>'9.0'!E225</f>
        <v>3170.1469999999995</v>
      </c>
    </row>
    <row r="268" spans="1:6" ht="14.25" customHeight="1" x14ac:dyDescent="0.2">
      <c r="A268" s="215" t="s">
        <v>877</v>
      </c>
      <c r="B268" s="216"/>
      <c r="C268" s="216"/>
      <c r="D268" s="216"/>
      <c r="E268" s="62">
        <v>3121.87</v>
      </c>
    </row>
    <row r="269" spans="1:6" ht="14.25" customHeight="1" x14ac:dyDescent="0.2">
      <c r="A269" s="217" t="s">
        <v>1197</v>
      </c>
      <c r="B269" s="218"/>
      <c r="C269" s="218"/>
      <c r="D269" s="218"/>
      <c r="E269" s="69">
        <f>E262</f>
        <v>2709.27</v>
      </c>
    </row>
    <row r="270" spans="1:6" ht="14.25" customHeight="1" x14ac:dyDescent="0.2">
      <c r="A270" s="219" t="s">
        <v>1198</v>
      </c>
      <c r="B270" s="220"/>
      <c r="C270" s="220"/>
      <c r="D270" s="220"/>
      <c r="E270" s="63">
        <f>E268-E269</f>
        <v>412.59999999999991</v>
      </c>
    </row>
    <row r="271" spans="1:6" ht="14.25" customHeight="1" x14ac:dyDescent="0.2">
      <c r="A271" s="233" t="s">
        <v>1449</v>
      </c>
      <c r="B271" s="234"/>
      <c r="C271" s="234"/>
      <c r="D271" s="234"/>
      <c r="E271" s="93">
        <f>E268-E267</f>
        <v>-48.276999999999589</v>
      </c>
    </row>
    <row r="272" spans="1:6" x14ac:dyDescent="0.2">
      <c r="A272" s="65"/>
      <c r="B272" s="46"/>
      <c r="C272" s="46"/>
      <c r="D272" s="46"/>
      <c r="E272" s="66"/>
    </row>
    <row r="273" spans="1:6" ht="17.25" customHeight="1" x14ac:dyDescent="0.2">
      <c r="A273" s="68" t="s">
        <v>1220</v>
      </c>
      <c r="B273" s="224" t="s">
        <v>200</v>
      </c>
      <c r="C273" s="224"/>
      <c r="D273" s="224"/>
      <c r="E273" s="224"/>
    </row>
    <row r="274" spans="1:6" s="43" customFormat="1" ht="26.25" customHeight="1" x14ac:dyDescent="0.2">
      <c r="A274" s="45" t="s">
        <v>1221</v>
      </c>
      <c r="B274" s="214" t="s">
        <v>202</v>
      </c>
      <c r="C274" s="214"/>
      <c r="D274" s="214"/>
      <c r="E274" s="214"/>
      <c r="F274" s="71" t="s">
        <v>865</v>
      </c>
    </row>
    <row r="275" spans="1:6" ht="14.25" customHeight="1" x14ac:dyDescent="0.2">
      <c r="A275" s="215" t="s">
        <v>1222</v>
      </c>
      <c r="B275" s="216"/>
      <c r="C275" s="216"/>
      <c r="D275" s="216"/>
      <c r="E275" s="62">
        <f>'9.0'!E235</f>
        <v>710.58</v>
      </c>
    </row>
    <row r="276" spans="1:6" ht="14.25" customHeight="1" x14ac:dyDescent="0.2">
      <c r="A276" s="215" t="s">
        <v>1223</v>
      </c>
      <c r="B276" s="216"/>
      <c r="C276" s="216"/>
      <c r="D276" s="216"/>
      <c r="E276" s="62">
        <v>921.15</v>
      </c>
    </row>
    <row r="277" spans="1:6" ht="14.25" customHeight="1" x14ac:dyDescent="0.2">
      <c r="A277" s="217" t="s">
        <v>1569</v>
      </c>
      <c r="B277" s="218"/>
      <c r="C277" s="218"/>
      <c r="D277" s="218"/>
      <c r="E277" s="69">
        <v>460.58</v>
      </c>
    </row>
    <row r="278" spans="1:6" ht="14.25" customHeight="1" x14ac:dyDescent="0.2">
      <c r="A278" s="219" t="s">
        <v>1570</v>
      </c>
      <c r="B278" s="220"/>
      <c r="C278" s="220"/>
      <c r="D278" s="220"/>
      <c r="E278" s="63">
        <f>E275-E277</f>
        <v>250.00000000000006</v>
      </c>
    </row>
    <row r="279" spans="1:6" x14ac:dyDescent="0.2">
      <c r="A279" s="65"/>
      <c r="B279" s="46"/>
      <c r="C279" s="46"/>
      <c r="D279" s="46"/>
      <c r="E279" s="66"/>
    </row>
    <row r="280" spans="1:6" ht="17.25" customHeight="1" x14ac:dyDescent="0.2">
      <c r="A280" s="44" t="s">
        <v>1185</v>
      </c>
      <c r="B280" s="221" t="s">
        <v>204</v>
      </c>
      <c r="C280" s="221"/>
      <c r="D280" s="221"/>
      <c r="E280" s="221"/>
    </row>
    <row r="281" spans="1:6" s="43" customFormat="1" ht="18.75" customHeight="1" x14ac:dyDescent="0.2">
      <c r="A281" s="68" t="s">
        <v>1186</v>
      </c>
      <c r="B281" s="224" t="s">
        <v>206</v>
      </c>
      <c r="C281" s="224"/>
      <c r="D281" s="224"/>
      <c r="E281" s="224"/>
    </row>
    <row r="282" spans="1:6" s="43" customFormat="1" ht="22.5" customHeight="1" x14ac:dyDescent="0.2">
      <c r="A282" s="45" t="s">
        <v>1190</v>
      </c>
      <c r="B282" s="214" t="s">
        <v>208</v>
      </c>
      <c r="C282" s="214"/>
      <c r="D282" s="214"/>
      <c r="E282" s="214"/>
      <c r="F282" s="71" t="s">
        <v>865</v>
      </c>
    </row>
    <row r="283" spans="1:6" ht="14.25" customHeight="1" x14ac:dyDescent="0.2">
      <c r="A283" s="215" t="s">
        <v>1191</v>
      </c>
      <c r="B283" s="216"/>
      <c r="C283" s="216"/>
      <c r="D283" s="216"/>
      <c r="E283" s="62">
        <f>'10.0'!E174</f>
        <v>5727.5</v>
      </c>
    </row>
    <row r="284" spans="1:6" ht="14.25" customHeight="1" x14ac:dyDescent="0.2">
      <c r="A284" s="215" t="s">
        <v>1192</v>
      </c>
      <c r="B284" s="216"/>
      <c r="C284" s="216"/>
      <c r="D284" s="216"/>
      <c r="E284" s="62">
        <f>'10.0'!E175</f>
        <v>6284.36</v>
      </c>
    </row>
    <row r="285" spans="1:6" ht="14.25" customHeight="1" x14ac:dyDescent="0.2">
      <c r="A285" s="217" t="s">
        <v>1450</v>
      </c>
      <c r="B285" s="218"/>
      <c r="C285" s="218"/>
      <c r="D285" s="218"/>
      <c r="E285" s="69">
        <v>2819.48</v>
      </c>
    </row>
    <row r="286" spans="1:6" ht="14.25" customHeight="1" x14ac:dyDescent="0.2">
      <c r="A286" s="219" t="s">
        <v>1451</v>
      </c>
      <c r="B286" s="220"/>
      <c r="C286" s="220"/>
      <c r="D286" s="220"/>
      <c r="E286" s="63">
        <f>E283-E285</f>
        <v>2908.02</v>
      </c>
    </row>
    <row r="287" spans="1:6" x14ac:dyDescent="0.2">
      <c r="A287" s="60"/>
      <c r="B287" s="91"/>
      <c r="C287" s="91"/>
      <c r="E287" s="61"/>
    </row>
    <row r="288" spans="1:6" s="43" customFormat="1" ht="27.75" customHeight="1" x14ac:dyDescent="0.2">
      <c r="A288" s="45" t="s">
        <v>1193</v>
      </c>
      <c r="B288" s="225" t="s">
        <v>210</v>
      </c>
      <c r="C288" s="226"/>
      <c r="D288" s="226"/>
      <c r="E288" s="227"/>
      <c r="F288" s="71" t="s">
        <v>865</v>
      </c>
    </row>
    <row r="289" spans="1:6" ht="14.25" customHeight="1" x14ac:dyDescent="0.2">
      <c r="A289" s="222" t="s">
        <v>1194</v>
      </c>
      <c r="B289" s="223"/>
      <c r="C289" s="223"/>
      <c r="D289" s="223"/>
      <c r="E289" s="62">
        <f>'10.0'!E186</f>
        <v>5727.5</v>
      </c>
    </row>
    <row r="290" spans="1:6" ht="14.25" customHeight="1" x14ac:dyDescent="0.2">
      <c r="A290" s="215" t="s">
        <v>1195</v>
      </c>
      <c r="B290" s="216"/>
      <c r="C290" s="216"/>
      <c r="D290" s="216"/>
      <c r="E290" s="62">
        <v>3121.87</v>
      </c>
    </row>
    <row r="291" spans="1:6" ht="14.25" customHeight="1" x14ac:dyDescent="0.2">
      <c r="A291" s="217" t="s">
        <v>1455</v>
      </c>
      <c r="B291" s="218"/>
      <c r="C291" s="218"/>
      <c r="D291" s="218"/>
      <c r="E291" s="69">
        <v>2819.48</v>
      </c>
    </row>
    <row r="292" spans="1:6" ht="14.25" customHeight="1" x14ac:dyDescent="0.2">
      <c r="A292" s="219" t="s">
        <v>1456</v>
      </c>
      <c r="B292" s="220"/>
      <c r="C292" s="220"/>
      <c r="D292" s="220"/>
      <c r="E292" s="63">
        <f>E289-E291</f>
        <v>2908.02</v>
      </c>
    </row>
    <row r="293" spans="1:6" x14ac:dyDescent="0.2">
      <c r="A293" s="60"/>
      <c r="B293" s="91"/>
      <c r="C293" s="91"/>
      <c r="E293" s="61"/>
    </row>
    <row r="294" spans="1:6" s="43" customFormat="1" ht="27.75" customHeight="1" x14ac:dyDescent="0.2">
      <c r="A294" s="45" t="s">
        <v>1452</v>
      </c>
      <c r="B294" s="225" t="s">
        <v>212</v>
      </c>
      <c r="C294" s="226"/>
      <c r="D294" s="226"/>
      <c r="E294" s="227"/>
      <c r="F294" s="71" t="s">
        <v>865</v>
      </c>
    </row>
    <row r="295" spans="1:6" ht="14.25" customHeight="1" x14ac:dyDescent="0.2">
      <c r="A295" s="222" t="s">
        <v>1453</v>
      </c>
      <c r="B295" s="223"/>
      <c r="C295" s="223"/>
      <c r="D295" s="223"/>
      <c r="E295" s="62">
        <f>'10.0'!E196</f>
        <v>2908.02</v>
      </c>
    </row>
    <row r="296" spans="1:6" ht="14.25" customHeight="1" x14ac:dyDescent="0.2">
      <c r="A296" s="215" t="s">
        <v>1459</v>
      </c>
      <c r="B296" s="216"/>
      <c r="C296" s="216"/>
      <c r="D296" s="216"/>
      <c r="E296" s="62">
        <v>3121.87</v>
      </c>
    </row>
    <row r="297" spans="1:6" ht="14.25" customHeight="1" x14ac:dyDescent="0.2">
      <c r="A297" s="217" t="s">
        <v>1457</v>
      </c>
      <c r="B297" s="218"/>
      <c r="C297" s="218"/>
      <c r="D297" s="218"/>
      <c r="E297" s="69">
        <v>0</v>
      </c>
    </row>
    <row r="298" spans="1:6" ht="14.25" customHeight="1" x14ac:dyDescent="0.2">
      <c r="A298" s="219" t="s">
        <v>1458</v>
      </c>
      <c r="B298" s="220"/>
      <c r="C298" s="220"/>
      <c r="D298" s="220"/>
      <c r="E298" s="63">
        <f>E295-E297</f>
        <v>2908.02</v>
      </c>
    </row>
    <row r="299" spans="1:6" x14ac:dyDescent="0.2">
      <c r="A299" s="60"/>
      <c r="B299" s="91"/>
      <c r="C299" s="91"/>
      <c r="E299" s="61"/>
    </row>
    <row r="300" spans="1:6" s="43" customFormat="1" ht="18.75" customHeight="1" x14ac:dyDescent="0.2">
      <c r="A300" s="68" t="s">
        <v>1461</v>
      </c>
      <c r="B300" s="224" t="s">
        <v>214</v>
      </c>
      <c r="C300" s="224"/>
      <c r="D300" s="224"/>
      <c r="E300" s="224"/>
    </row>
    <row r="301" spans="1:6" s="43" customFormat="1" ht="30" customHeight="1" x14ac:dyDescent="0.2">
      <c r="A301" s="45" t="s">
        <v>1462</v>
      </c>
      <c r="B301" s="214" t="s">
        <v>216</v>
      </c>
      <c r="C301" s="214"/>
      <c r="D301" s="214"/>
      <c r="E301" s="214"/>
      <c r="F301" s="71" t="s">
        <v>865</v>
      </c>
    </row>
    <row r="302" spans="1:6" ht="14.25" customHeight="1" x14ac:dyDescent="0.2">
      <c r="A302" s="215" t="s">
        <v>1191</v>
      </c>
      <c r="B302" s="216"/>
      <c r="C302" s="216"/>
      <c r="D302" s="216"/>
      <c r="E302" s="62">
        <f>'10.0'!E208</f>
        <v>1560.6000000000001</v>
      </c>
    </row>
    <row r="303" spans="1:6" ht="14.25" customHeight="1" x14ac:dyDescent="0.2">
      <c r="A303" s="215" t="s">
        <v>1192</v>
      </c>
      <c r="B303" s="216"/>
      <c r="C303" s="216"/>
      <c r="D303" s="216"/>
      <c r="E303" s="62">
        <v>3121.87</v>
      </c>
    </row>
    <row r="304" spans="1:6" ht="14.25" customHeight="1" x14ac:dyDescent="0.2">
      <c r="A304" s="217" t="s">
        <v>1450</v>
      </c>
      <c r="B304" s="218"/>
      <c r="C304" s="218"/>
      <c r="D304" s="218"/>
      <c r="E304" s="69">
        <v>0</v>
      </c>
    </row>
    <row r="305" spans="1:6" ht="14.25" customHeight="1" x14ac:dyDescent="0.2">
      <c r="A305" s="219" t="s">
        <v>1451</v>
      </c>
      <c r="B305" s="220"/>
      <c r="C305" s="220"/>
      <c r="D305" s="220"/>
      <c r="E305" s="63">
        <f>E302-E304</f>
        <v>1560.6000000000001</v>
      </c>
    </row>
    <row r="306" spans="1:6" x14ac:dyDescent="0.2">
      <c r="A306" s="60"/>
      <c r="B306" s="91"/>
      <c r="C306" s="91"/>
      <c r="E306" s="61"/>
    </row>
    <row r="307" spans="1:6" s="43" customFormat="1" ht="27.75" customHeight="1" x14ac:dyDescent="0.2">
      <c r="A307" s="45" t="s">
        <v>1463</v>
      </c>
      <c r="B307" s="225" t="s">
        <v>218</v>
      </c>
      <c r="C307" s="226"/>
      <c r="D307" s="226"/>
      <c r="E307" s="227"/>
      <c r="F307" s="71" t="s">
        <v>865</v>
      </c>
    </row>
    <row r="308" spans="1:6" ht="14.25" customHeight="1" x14ac:dyDescent="0.2">
      <c r="A308" s="222" t="s">
        <v>1194</v>
      </c>
      <c r="B308" s="223"/>
      <c r="C308" s="223"/>
      <c r="D308" s="223"/>
      <c r="E308" s="62">
        <f>'10.0'!E219</f>
        <v>1560.6000000000001</v>
      </c>
    </row>
    <row r="309" spans="1:6" ht="14.25" customHeight="1" x14ac:dyDescent="0.2">
      <c r="A309" s="215" t="s">
        <v>1195</v>
      </c>
      <c r="B309" s="216"/>
      <c r="C309" s="216"/>
      <c r="D309" s="216"/>
      <c r="E309" s="62">
        <v>3121.87</v>
      </c>
    </row>
    <row r="310" spans="1:6" ht="14.25" customHeight="1" x14ac:dyDescent="0.2">
      <c r="A310" s="217" t="s">
        <v>1455</v>
      </c>
      <c r="B310" s="218"/>
      <c r="C310" s="218"/>
      <c r="D310" s="218"/>
      <c r="E310" s="69">
        <v>0</v>
      </c>
    </row>
    <row r="311" spans="1:6" ht="14.25" customHeight="1" x14ac:dyDescent="0.2">
      <c r="A311" s="219" t="s">
        <v>1456</v>
      </c>
      <c r="B311" s="220"/>
      <c r="C311" s="220"/>
      <c r="D311" s="220"/>
      <c r="E311" s="63">
        <f>E308-E310</f>
        <v>1560.6000000000001</v>
      </c>
    </row>
    <row r="312" spans="1:6" x14ac:dyDescent="0.2">
      <c r="A312" s="60"/>
      <c r="B312" s="91"/>
      <c r="C312" s="91"/>
      <c r="E312" s="61"/>
    </row>
    <row r="313" spans="1:6" s="43" customFormat="1" ht="27.75" customHeight="1" x14ac:dyDescent="0.2">
      <c r="A313" s="45" t="s">
        <v>1467</v>
      </c>
      <c r="B313" s="225" t="s">
        <v>220</v>
      </c>
      <c r="C313" s="226"/>
      <c r="D313" s="226"/>
      <c r="E313" s="227"/>
      <c r="F313" s="71" t="s">
        <v>865</v>
      </c>
    </row>
    <row r="314" spans="1:6" ht="14.25" customHeight="1" x14ac:dyDescent="0.2">
      <c r="A314" s="222" t="s">
        <v>1468</v>
      </c>
      <c r="B314" s="223"/>
      <c r="C314" s="223"/>
      <c r="D314" s="223"/>
      <c r="E314" s="62">
        <f>'10.0'!E230</f>
        <v>1560.6000000000001</v>
      </c>
    </row>
    <row r="315" spans="1:6" ht="14.25" customHeight="1" x14ac:dyDescent="0.2">
      <c r="A315" s="215" t="s">
        <v>1469</v>
      </c>
      <c r="B315" s="216"/>
      <c r="C315" s="216"/>
      <c r="D315" s="216"/>
      <c r="E315" s="62">
        <v>3121.87</v>
      </c>
    </row>
    <row r="316" spans="1:6" ht="14.25" customHeight="1" x14ac:dyDescent="0.2">
      <c r="A316" s="217" t="s">
        <v>1470</v>
      </c>
      <c r="B316" s="218"/>
      <c r="C316" s="218"/>
      <c r="D316" s="218"/>
      <c r="E316" s="69">
        <v>0</v>
      </c>
    </row>
    <row r="317" spans="1:6" ht="14.25" customHeight="1" x14ac:dyDescent="0.2">
      <c r="A317" s="219" t="s">
        <v>1471</v>
      </c>
      <c r="B317" s="220"/>
      <c r="C317" s="220"/>
      <c r="D317" s="220"/>
      <c r="E317" s="63">
        <f>E314-E316</f>
        <v>1560.6000000000001</v>
      </c>
    </row>
    <row r="318" spans="1:6" x14ac:dyDescent="0.2">
      <c r="A318" s="60"/>
      <c r="B318" s="91"/>
      <c r="C318" s="91"/>
      <c r="E318" s="61"/>
    </row>
    <row r="319" spans="1:6" ht="17.25" customHeight="1" x14ac:dyDescent="0.2">
      <c r="A319" s="44" t="s">
        <v>1224</v>
      </c>
      <c r="B319" s="221" t="s">
        <v>224</v>
      </c>
      <c r="C319" s="221"/>
      <c r="D319" s="221"/>
      <c r="E319" s="221"/>
    </row>
    <row r="320" spans="1:6" s="43" customFormat="1" ht="30" customHeight="1" x14ac:dyDescent="0.2">
      <c r="A320" s="45" t="s">
        <v>1010</v>
      </c>
      <c r="B320" s="214" t="s">
        <v>226</v>
      </c>
      <c r="C320" s="214"/>
      <c r="D320" s="214"/>
      <c r="E320" s="214"/>
      <c r="F320" s="71" t="s">
        <v>865</v>
      </c>
    </row>
    <row r="321" spans="1:6" ht="14.25" customHeight="1" x14ac:dyDescent="0.2">
      <c r="A321" s="215" t="s">
        <v>1011</v>
      </c>
      <c r="B321" s="216"/>
      <c r="C321" s="216"/>
      <c r="D321" s="216"/>
      <c r="E321" s="62">
        <f>'11.0'!E17</f>
        <v>1097.3699999999999</v>
      </c>
    </row>
    <row r="322" spans="1:6" ht="14.25" customHeight="1" x14ac:dyDescent="0.2">
      <c r="A322" s="215" t="s">
        <v>1012</v>
      </c>
      <c r="B322" s="216"/>
      <c r="C322" s="216"/>
      <c r="D322" s="216"/>
      <c r="E322" s="62">
        <v>1502.47</v>
      </c>
    </row>
    <row r="323" spans="1:6" ht="14.25" customHeight="1" x14ac:dyDescent="0.2">
      <c r="A323" s="217" t="s">
        <v>1691</v>
      </c>
      <c r="B323" s="218"/>
      <c r="C323" s="218"/>
      <c r="D323" s="218"/>
      <c r="E323" s="69">
        <v>872</v>
      </c>
    </row>
    <row r="324" spans="1:6" ht="14.25" customHeight="1" x14ac:dyDescent="0.2">
      <c r="A324" s="219" t="s">
        <v>1692</v>
      </c>
      <c r="B324" s="220"/>
      <c r="C324" s="220"/>
      <c r="D324" s="220"/>
      <c r="E324" s="63">
        <f>E321-E323</f>
        <v>225.36999999999989</v>
      </c>
    </row>
    <row r="325" spans="1:6" x14ac:dyDescent="0.2">
      <c r="A325" s="60"/>
      <c r="B325" s="91"/>
      <c r="C325" s="91"/>
      <c r="E325" s="61"/>
    </row>
    <row r="326" spans="1:6" s="43" customFormat="1" ht="40.5" customHeight="1" x14ac:dyDescent="0.2">
      <c r="A326" s="45" t="s">
        <v>1694</v>
      </c>
      <c r="B326" s="214" t="s">
        <v>234</v>
      </c>
      <c r="C326" s="214"/>
      <c r="D326" s="214"/>
      <c r="E326" s="214"/>
      <c r="F326" s="71" t="s">
        <v>865</v>
      </c>
    </row>
    <row r="327" spans="1:6" ht="14.25" customHeight="1" x14ac:dyDescent="0.2">
      <c r="A327" s="215" t="s">
        <v>1695</v>
      </c>
      <c r="B327" s="216"/>
      <c r="C327" s="216"/>
      <c r="D327" s="216"/>
      <c r="E327" s="62">
        <f>'11.0'!E56</f>
        <v>23.55</v>
      </c>
    </row>
    <row r="328" spans="1:6" ht="14.25" customHeight="1" x14ac:dyDescent="0.2">
      <c r="A328" s="215" t="s">
        <v>1696</v>
      </c>
      <c r="B328" s="216"/>
      <c r="C328" s="216"/>
      <c r="D328" s="216"/>
      <c r="E328" s="62">
        <v>47.1</v>
      </c>
    </row>
    <row r="329" spans="1:6" ht="14.25" customHeight="1" x14ac:dyDescent="0.2">
      <c r="A329" s="217" t="s">
        <v>1697</v>
      </c>
      <c r="B329" s="218"/>
      <c r="C329" s="218"/>
      <c r="D329" s="218"/>
      <c r="E329" s="69">
        <v>0</v>
      </c>
    </row>
    <row r="330" spans="1:6" ht="14.25" customHeight="1" x14ac:dyDescent="0.2">
      <c r="A330" s="219" t="s">
        <v>1698</v>
      </c>
      <c r="B330" s="220"/>
      <c r="C330" s="220"/>
      <c r="D330" s="220"/>
      <c r="E330" s="63">
        <f>E327-E329</f>
        <v>23.55</v>
      </c>
    </row>
    <row r="331" spans="1:6" x14ac:dyDescent="0.2">
      <c r="A331" s="60"/>
      <c r="B331" s="91"/>
      <c r="C331" s="91"/>
      <c r="E331" s="61"/>
    </row>
    <row r="332" spans="1:6" s="43" customFormat="1" ht="40.5" customHeight="1" x14ac:dyDescent="0.2">
      <c r="A332" s="45" t="s">
        <v>1020</v>
      </c>
      <c r="B332" s="214" t="s">
        <v>236</v>
      </c>
      <c r="C332" s="214"/>
      <c r="D332" s="214"/>
      <c r="E332" s="214"/>
      <c r="F332" s="71" t="s">
        <v>865</v>
      </c>
    </row>
    <row r="333" spans="1:6" ht="14.25" customHeight="1" x14ac:dyDescent="0.2">
      <c r="A333" s="215" t="s">
        <v>888</v>
      </c>
      <c r="B333" s="216"/>
      <c r="C333" s="216"/>
      <c r="D333" s="216"/>
      <c r="E333" s="62">
        <f>'11.0'!E72</f>
        <v>1634.1799999999998</v>
      </c>
    </row>
    <row r="334" spans="1:6" ht="14.25" customHeight="1" x14ac:dyDescent="0.2">
      <c r="A334" s="215" t="s">
        <v>889</v>
      </c>
      <c r="B334" s="216"/>
      <c r="C334" s="216"/>
      <c r="D334" s="216"/>
      <c r="E334" s="62">
        <v>2177.6799999999998</v>
      </c>
    </row>
    <row r="335" spans="1:6" ht="14.25" customHeight="1" x14ac:dyDescent="0.2">
      <c r="A335" s="217" t="s">
        <v>1493</v>
      </c>
      <c r="B335" s="218"/>
      <c r="C335" s="218"/>
      <c r="D335" s="218"/>
      <c r="E335" s="69">
        <v>872</v>
      </c>
    </row>
    <row r="336" spans="1:6" ht="14.25" customHeight="1" x14ac:dyDescent="0.2">
      <c r="A336" s="219" t="s">
        <v>1494</v>
      </c>
      <c r="B336" s="220"/>
      <c r="C336" s="220"/>
      <c r="D336" s="220"/>
      <c r="E336" s="63">
        <f>E333-E335</f>
        <v>762.17999999999984</v>
      </c>
    </row>
    <row r="337" spans="1:6" x14ac:dyDescent="0.2">
      <c r="A337" s="60"/>
      <c r="B337" s="91"/>
      <c r="C337" s="91"/>
      <c r="E337" s="61"/>
    </row>
    <row r="338" spans="1:6" ht="17.25" customHeight="1" x14ac:dyDescent="0.2">
      <c r="A338" s="44" t="s">
        <v>886</v>
      </c>
      <c r="B338" s="221" t="s">
        <v>238</v>
      </c>
      <c r="C338" s="221"/>
      <c r="D338" s="221"/>
      <c r="E338" s="221"/>
    </row>
    <row r="339" spans="1:6" s="43" customFormat="1" ht="40.5" customHeight="1" x14ac:dyDescent="0.2">
      <c r="A339" s="45" t="s">
        <v>1225</v>
      </c>
      <c r="B339" s="214" t="s">
        <v>240</v>
      </c>
      <c r="C339" s="214"/>
      <c r="D339" s="214"/>
      <c r="E339" s="214"/>
      <c r="F339" s="71" t="s">
        <v>865</v>
      </c>
    </row>
    <row r="340" spans="1:6" ht="14.25" customHeight="1" x14ac:dyDescent="0.2">
      <c r="A340" s="215" t="s">
        <v>1226</v>
      </c>
      <c r="B340" s="216"/>
      <c r="C340" s="216"/>
      <c r="D340" s="216"/>
      <c r="E340" s="62">
        <f>'12.0'!E17</f>
        <v>1782.01</v>
      </c>
    </row>
    <row r="341" spans="1:6" ht="14.25" customHeight="1" x14ac:dyDescent="0.2">
      <c r="A341" s="215" t="s">
        <v>1227</v>
      </c>
      <c r="B341" s="216"/>
      <c r="C341" s="216"/>
      <c r="D341" s="216"/>
      <c r="E341" s="62">
        <v>2970.02</v>
      </c>
    </row>
    <row r="342" spans="1:6" ht="14.25" customHeight="1" x14ac:dyDescent="0.2">
      <c r="A342" s="217" t="s">
        <v>1707</v>
      </c>
      <c r="B342" s="218"/>
      <c r="C342" s="218"/>
      <c r="D342" s="218"/>
      <c r="E342" s="69">
        <v>1188.01</v>
      </c>
    </row>
    <row r="343" spans="1:6" ht="14.25" customHeight="1" x14ac:dyDescent="0.2">
      <c r="A343" s="219" t="s">
        <v>1708</v>
      </c>
      <c r="B343" s="220"/>
      <c r="C343" s="220"/>
      <c r="D343" s="220"/>
      <c r="E343" s="63">
        <f>E340-E342</f>
        <v>594</v>
      </c>
    </row>
    <row r="344" spans="1:6" x14ac:dyDescent="0.2">
      <c r="A344" s="60"/>
      <c r="B344" s="91"/>
      <c r="C344" s="91"/>
      <c r="E344" s="61"/>
    </row>
    <row r="345" spans="1:6" s="43" customFormat="1" ht="40.5" hidden="1" customHeight="1" x14ac:dyDescent="0.2">
      <c r="A345" s="45" t="s">
        <v>962</v>
      </c>
      <c r="B345" s="214" t="s">
        <v>242</v>
      </c>
      <c r="C345" s="214"/>
      <c r="D345" s="214"/>
      <c r="E345" s="214"/>
      <c r="F345" s="131" t="s">
        <v>865</v>
      </c>
    </row>
    <row r="346" spans="1:6" ht="14.25" hidden="1" customHeight="1" x14ac:dyDescent="0.2">
      <c r="A346" s="215" t="s">
        <v>965</v>
      </c>
      <c r="B346" s="216"/>
      <c r="C346" s="216"/>
      <c r="D346" s="216"/>
      <c r="E346" s="62">
        <f>'12.0'!E41</f>
        <v>138.10999999999999</v>
      </c>
    </row>
    <row r="347" spans="1:6" ht="14.25" hidden="1" customHeight="1" x14ac:dyDescent="0.2">
      <c r="A347" s="215" t="s">
        <v>1228</v>
      </c>
      <c r="B347" s="216"/>
      <c r="C347" s="216"/>
      <c r="D347" s="216"/>
      <c r="E347" s="62">
        <v>138.11000000000001</v>
      </c>
    </row>
    <row r="348" spans="1:6" ht="14.25" hidden="1" customHeight="1" x14ac:dyDescent="0.2">
      <c r="A348" s="217" t="s">
        <v>1229</v>
      </c>
      <c r="B348" s="218"/>
      <c r="C348" s="218"/>
      <c r="D348" s="218"/>
      <c r="E348" s="69">
        <v>78.23</v>
      </c>
    </row>
    <row r="349" spans="1:6" ht="14.25" hidden="1" customHeight="1" x14ac:dyDescent="0.2">
      <c r="A349" s="219" t="s">
        <v>1230</v>
      </c>
      <c r="B349" s="220"/>
      <c r="C349" s="220"/>
      <c r="D349" s="220"/>
      <c r="E349" s="63">
        <f>E346-E348</f>
        <v>59.879999999999981</v>
      </c>
    </row>
    <row r="350" spans="1:6" hidden="1" x14ac:dyDescent="0.2">
      <c r="A350" s="60"/>
      <c r="B350" s="91"/>
      <c r="C350" s="91"/>
      <c r="E350" s="61"/>
    </row>
    <row r="351" spans="1:6" s="43" customFormat="1" ht="22.5" hidden="1" customHeight="1" x14ac:dyDescent="0.2">
      <c r="A351" s="45" t="s">
        <v>1231</v>
      </c>
      <c r="B351" s="214" t="s">
        <v>244</v>
      </c>
      <c r="C351" s="214"/>
      <c r="D351" s="214"/>
      <c r="E351" s="214"/>
      <c r="F351" s="131" t="s">
        <v>865</v>
      </c>
    </row>
    <row r="352" spans="1:6" ht="14.25" hidden="1" customHeight="1" x14ac:dyDescent="0.2">
      <c r="A352" s="215" t="s">
        <v>1232</v>
      </c>
      <c r="B352" s="216"/>
      <c r="C352" s="216"/>
      <c r="D352" s="216"/>
      <c r="E352" s="62">
        <f>'12.0'!E49</f>
        <v>57.79</v>
      </c>
    </row>
    <row r="353" spans="1:6" ht="14.25" hidden="1" customHeight="1" x14ac:dyDescent="0.2">
      <c r="A353" s="215" t="s">
        <v>1233</v>
      </c>
      <c r="B353" s="216"/>
      <c r="C353" s="216"/>
      <c r="D353" s="216"/>
      <c r="E353" s="62">
        <v>115.57</v>
      </c>
    </row>
    <row r="354" spans="1:6" ht="14.25" hidden="1" customHeight="1" x14ac:dyDescent="0.2">
      <c r="A354" s="217" t="s">
        <v>1234</v>
      </c>
      <c r="B354" s="218"/>
      <c r="C354" s="218"/>
      <c r="D354" s="218"/>
      <c r="E354" s="69">
        <v>0</v>
      </c>
    </row>
    <row r="355" spans="1:6" ht="14.25" hidden="1" customHeight="1" x14ac:dyDescent="0.2">
      <c r="A355" s="219" t="s">
        <v>1235</v>
      </c>
      <c r="B355" s="220"/>
      <c r="C355" s="220"/>
      <c r="D355" s="220"/>
      <c r="E355" s="63">
        <f>E352-E354</f>
        <v>57.79</v>
      </c>
    </row>
    <row r="356" spans="1:6" hidden="1" x14ac:dyDescent="0.2">
      <c r="A356" s="60"/>
      <c r="B356" s="91"/>
      <c r="C356" s="91"/>
      <c r="E356" s="61"/>
    </row>
    <row r="357" spans="1:6" s="43" customFormat="1" ht="40.5" customHeight="1" x14ac:dyDescent="0.2">
      <c r="A357" s="45" t="s">
        <v>887</v>
      </c>
      <c r="B357" s="214" t="s">
        <v>246</v>
      </c>
      <c r="C357" s="214"/>
      <c r="D357" s="214"/>
      <c r="E357" s="214"/>
      <c r="F357" s="71" t="s">
        <v>865</v>
      </c>
    </row>
    <row r="358" spans="1:6" ht="14.25" customHeight="1" x14ac:dyDescent="0.2">
      <c r="A358" s="215" t="s">
        <v>904</v>
      </c>
      <c r="B358" s="216"/>
      <c r="C358" s="216"/>
      <c r="D358" s="216"/>
      <c r="E358" s="62">
        <f>'12.0'!E166</f>
        <v>4266.4359999999997</v>
      </c>
    </row>
    <row r="359" spans="1:6" ht="14.25" customHeight="1" x14ac:dyDescent="0.2">
      <c r="A359" s="215" t="s">
        <v>905</v>
      </c>
      <c r="B359" s="216"/>
      <c r="C359" s="216"/>
      <c r="D359" s="216"/>
      <c r="E359" s="62">
        <v>4858.42</v>
      </c>
    </row>
    <row r="360" spans="1:6" ht="14.25" customHeight="1" x14ac:dyDescent="0.2">
      <c r="A360" s="217" t="s">
        <v>1495</v>
      </c>
      <c r="B360" s="218"/>
      <c r="C360" s="218"/>
      <c r="D360" s="218"/>
      <c r="E360" s="69">
        <v>2673.1</v>
      </c>
    </row>
    <row r="361" spans="1:6" ht="14.25" customHeight="1" x14ac:dyDescent="0.2">
      <c r="A361" s="219" t="s">
        <v>1496</v>
      </c>
      <c r="B361" s="220"/>
      <c r="C361" s="220"/>
      <c r="D361" s="220"/>
      <c r="E361" s="63">
        <f>E358-E360</f>
        <v>1593.3359999999998</v>
      </c>
    </row>
    <row r="362" spans="1:6" x14ac:dyDescent="0.2">
      <c r="A362" s="60"/>
      <c r="B362" s="91"/>
      <c r="C362" s="91"/>
      <c r="E362" s="61"/>
    </row>
    <row r="363" spans="1:6" s="43" customFormat="1" ht="27.75" customHeight="1" x14ac:dyDescent="0.2">
      <c r="A363" s="45" t="s">
        <v>1268</v>
      </c>
      <c r="B363" s="214" t="s">
        <v>248</v>
      </c>
      <c r="C363" s="214"/>
      <c r="D363" s="214"/>
      <c r="E363" s="214"/>
      <c r="F363" s="71" t="s">
        <v>865</v>
      </c>
    </row>
    <row r="364" spans="1:6" ht="14.25" customHeight="1" x14ac:dyDescent="0.2">
      <c r="A364" s="215" t="s">
        <v>1572</v>
      </c>
      <c r="B364" s="216"/>
      <c r="C364" s="216"/>
      <c r="D364" s="216"/>
      <c r="E364" s="62">
        <f>'12.0'!E175</f>
        <v>55</v>
      </c>
    </row>
    <row r="365" spans="1:6" ht="14.25" customHeight="1" x14ac:dyDescent="0.2">
      <c r="A365" s="215" t="s">
        <v>1573</v>
      </c>
      <c r="B365" s="216"/>
      <c r="C365" s="216"/>
      <c r="D365" s="216"/>
      <c r="E365" s="62">
        <v>108.88</v>
      </c>
    </row>
    <row r="366" spans="1:6" ht="14.25" customHeight="1" x14ac:dyDescent="0.2">
      <c r="A366" s="217" t="s">
        <v>1574</v>
      </c>
      <c r="B366" s="218"/>
      <c r="C366" s="218"/>
      <c r="D366" s="218"/>
      <c r="E366" s="69">
        <v>0</v>
      </c>
    </row>
    <row r="367" spans="1:6" ht="14.25" customHeight="1" x14ac:dyDescent="0.2">
      <c r="A367" s="219" t="s">
        <v>1575</v>
      </c>
      <c r="B367" s="220"/>
      <c r="C367" s="220"/>
      <c r="D367" s="220"/>
      <c r="E367" s="63">
        <f>E364-E366</f>
        <v>55</v>
      </c>
    </row>
    <row r="368" spans="1:6" x14ac:dyDescent="0.2">
      <c r="A368" s="60"/>
      <c r="B368" s="91"/>
      <c r="C368" s="91"/>
      <c r="E368" s="61"/>
    </row>
    <row r="369" spans="1:6" s="43" customFormat="1" ht="22.5" hidden="1" customHeight="1" x14ac:dyDescent="0.2">
      <c r="A369" s="45" t="s">
        <v>1236</v>
      </c>
      <c r="B369" s="214" t="s">
        <v>252</v>
      </c>
      <c r="C369" s="214"/>
      <c r="D369" s="214"/>
      <c r="E369" s="214"/>
      <c r="F369" s="131" t="s">
        <v>865</v>
      </c>
    </row>
    <row r="370" spans="1:6" ht="14.25" hidden="1" customHeight="1" x14ac:dyDescent="0.2">
      <c r="A370" s="215" t="s">
        <v>1237</v>
      </c>
      <c r="B370" s="216"/>
      <c r="C370" s="216"/>
      <c r="D370" s="216"/>
      <c r="E370" s="62">
        <f>'12.0'!E204</f>
        <v>51.93</v>
      </c>
    </row>
    <row r="371" spans="1:6" ht="14.25" hidden="1" customHeight="1" x14ac:dyDescent="0.2">
      <c r="A371" s="215" t="s">
        <v>1238</v>
      </c>
      <c r="B371" s="216"/>
      <c r="C371" s="216"/>
      <c r="D371" s="216"/>
      <c r="E371" s="62">
        <v>103.86</v>
      </c>
    </row>
    <row r="372" spans="1:6" ht="14.25" hidden="1" customHeight="1" x14ac:dyDescent="0.2">
      <c r="A372" s="217" t="s">
        <v>1239</v>
      </c>
      <c r="B372" s="218"/>
      <c r="C372" s="218"/>
      <c r="D372" s="218"/>
      <c r="E372" s="69">
        <v>0</v>
      </c>
    </row>
    <row r="373" spans="1:6" ht="14.25" hidden="1" customHeight="1" x14ac:dyDescent="0.2">
      <c r="A373" s="219" t="s">
        <v>1240</v>
      </c>
      <c r="B373" s="220"/>
      <c r="C373" s="220"/>
      <c r="D373" s="220"/>
      <c r="E373" s="63">
        <f>E370-E372</f>
        <v>51.93</v>
      </c>
    </row>
    <row r="374" spans="1:6" hidden="1" x14ac:dyDescent="0.2">
      <c r="A374" s="60"/>
      <c r="B374" s="91"/>
      <c r="C374" s="91"/>
      <c r="E374" s="61"/>
    </row>
    <row r="375" spans="1:6" s="43" customFormat="1" ht="22.5" customHeight="1" x14ac:dyDescent="0.2">
      <c r="A375" s="45" t="s">
        <v>1576</v>
      </c>
      <c r="B375" s="214" t="s">
        <v>254</v>
      </c>
      <c r="C375" s="214"/>
      <c r="D375" s="214"/>
      <c r="E375" s="214"/>
      <c r="F375" s="71" t="s">
        <v>865</v>
      </c>
    </row>
    <row r="376" spans="1:6" ht="14.25" customHeight="1" x14ac:dyDescent="0.2">
      <c r="A376" s="215" t="s">
        <v>1578</v>
      </c>
      <c r="B376" s="216"/>
      <c r="C376" s="216"/>
      <c r="D376" s="216"/>
      <c r="E376" s="62">
        <f>'12.0'!E210</f>
        <v>120</v>
      </c>
    </row>
    <row r="377" spans="1:6" ht="14.25" customHeight="1" x14ac:dyDescent="0.2">
      <c r="A377" s="215" t="s">
        <v>1579</v>
      </c>
      <c r="B377" s="216"/>
      <c r="C377" s="216"/>
      <c r="D377" s="216"/>
      <c r="E377" s="62">
        <v>228.77</v>
      </c>
    </row>
    <row r="378" spans="1:6" ht="14.25" customHeight="1" x14ac:dyDescent="0.2">
      <c r="A378" s="217" t="s">
        <v>1580</v>
      </c>
      <c r="B378" s="218"/>
      <c r="C378" s="218"/>
      <c r="D378" s="218"/>
      <c r="E378" s="69">
        <v>0</v>
      </c>
    </row>
    <row r="379" spans="1:6" ht="14.25" customHeight="1" x14ac:dyDescent="0.2">
      <c r="A379" s="219" t="s">
        <v>1581</v>
      </c>
      <c r="B379" s="220"/>
      <c r="C379" s="220"/>
      <c r="D379" s="220"/>
      <c r="E379" s="63">
        <f>E376-E378</f>
        <v>120</v>
      </c>
    </row>
    <row r="380" spans="1:6" x14ac:dyDescent="0.2">
      <c r="A380" s="60"/>
      <c r="B380" s="91"/>
      <c r="C380" s="91"/>
      <c r="E380" s="61"/>
    </row>
    <row r="381" spans="1:6" s="43" customFormat="1" ht="33" customHeight="1" x14ac:dyDescent="0.2">
      <c r="A381" s="45" t="s">
        <v>1582</v>
      </c>
      <c r="B381" s="214" t="s">
        <v>256</v>
      </c>
      <c r="C381" s="214"/>
      <c r="D381" s="214"/>
      <c r="E381" s="214"/>
      <c r="F381" s="71" t="s">
        <v>865</v>
      </c>
    </row>
    <row r="382" spans="1:6" ht="14.25" customHeight="1" x14ac:dyDescent="0.2">
      <c r="A382" s="215" t="s">
        <v>1583</v>
      </c>
      <c r="B382" s="216"/>
      <c r="C382" s="216"/>
      <c r="D382" s="216"/>
      <c r="E382" s="62">
        <f>'12.0'!E219</f>
        <v>124.98</v>
      </c>
    </row>
    <row r="383" spans="1:6" ht="14.25" customHeight="1" x14ac:dyDescent="0.2">
      <c r="A383" s="215" t="s">
        <v>1588</v>
      </c>
      <c r="B383" s="216"/>
      <c r="C383" s="216"/>
      <c r="D383" s="216"/>
      <c r="E383" s="62">
        <v>156.22999999999999</v>
      </c>
    </row>
    <row r="384" spans="1:6" ht="14.25" customHeight="1" x14ac:dyDescent="0.2">
      <c r="A384" s="217" t="s">
        <v>1589</v>
      </c>
      <c r="B384" s="218"/>
      <c r="C384" s="218"/>
      <c r="D384" s="218"/>
      <c r="E384" s="69">
        <v>0</v>
      </c>
    </row>
    <row r="385" spans="1:6" ht="14.25" customHeight="1" x14ac:dyDescent="0.2">
      <c r="A385" s="219" t="s">
        <v>1590</v>
      </c>
      <c r="B385" s="220"/>
      <c r="C385" s="220"/>
      <c r="D385" s="220"/>
      <c r="E385" s="63">
        <f>E382-E384</f>
        <v>124.98</v>
      </c>
    </row>
    <row r="386" spans="1:6" x14ac:dyDescent="0.2">
      <c r="A386" s="60"/>
      <c r="B386" s="91"/>
      <c r="C386" s="91"/>
      <c r="E386" s="61"/>
    </row>
    <row r="387" spans="1:6" s="43" customFormat="1" ht="33" customHeight="1" x14ac:dyDescent="0.2">
      <c r="A387" s="45" t="s">
        <v>1584</v>
      </c>
      <c r="B387" s="214" t="s">
        <v>258</v>
      </c>
      <c r="C387" s="214"/>
      <c r="D387" s="214"/>
      <c r="E387" s="214"/>
      <c r="F387" s="71" t="s">
        <v>865</v>
      </c>
    </row>
    <row r="388" spans="1:6" ht="14.25" customHeight="1" x14ac:dyDescent="0.2">
      <c r="A388" s="215" t="s">
        <v>1591</v>
      </c>
      <c r="B388" s="216"/>
      <c r="C388" s="216"/>
      <c r="D388" s="216"/>
      <c r="E388" s="62">
        <f>'12.0'!E228</f>
        <v>1041.53</v>
      </c>
    </row>
    <row r="389" spans="1:6" ht="14.25" customHeight="1" x14ac:dyDescent="0.2">
      <c r="A389" s="215" t="s">
        <v>1585</v>
      </c>
      <c r="B389" s="216"/>
      <c r="C389" s="216"/>
      <c r="D389" s="216"/>
      <c r="E389" s="62">
        <v>1301.92</v>
      </c>
    </row>
    <row r="390" spans="1:6" ht="14.25" customHeight="1" x14ac:dyDescent="0.2">
      <c r="A390" s="217" t="s">
        <v>1586</v>
      </c>
      <c r="B390" s="218"/>
      <c r="C390" s="218"/>
      <c r="D390" s="218"/>
      <c r="E390" s="69">
        <v>0</v>
      </c>
    </row>
    <row r="391" spans="1:6" ht="14.25" customHeight="1" x14ac:dyDescent="0.2">
      <c r="A391" s="219" t="s">
        <v>1587</v>
      </c>
      <c r="B391" s="220"/>
      <c r="C391" s="220"/>
      <c r="D391" s="220"/>
      <c r="E391" s="63">
        <f>E388-E390</f>
        <v>1041.53</v>
      </c>
    </row>
    <row r="392" spans="1:6" x14ac:dyDescent="0.2">
      <c r="A392" s="60"/>
      <c r="B392" s="91"/>
      <c r="C392" s="91"/>
      <c r="E392" s="61"/>
    </row>
    <row r="393" spans="1:6" ht="17.25" customHeight="1" x14ac:dyDescent="0.2">
      <c r="A393" s="44" t="s">
        <v>1107</v>
      </c>
      <c r="B393" s="221" t="s">
        <v>267</v>
      </c>
      <c r="C393" s="221"/>
      <c r="D393" s="221"/>
      <c r="E393" s="221"/>
    </row>
    <row r="394" spans="1:6" s="43" customFormat="1" ht="40.5" customHeight="1" x14ac:dyDescent="0.2">
      <c r="A394" s="45" t="s">
        <v>1108</v>
      </c>
      <c r="B394" s="214" t="s">
        <v>269</v>
      </c>
      <c r="C394" s="214"/>
      <c r="D394" s="214"/>
      <c r="E394" s="214"/>
      <c r="F394" s="71" t="s">
        <v>865</v>
      </c>
    </row>
    <row r="395" spans="1:6" ht="28.5" customHeight="1" x14ac:dyDescent="0.2">
      <c r="A395" s="239" t="s">
        <v>1592</v>
      </c>
      <c r="B395" s="240"/>
      <c r="C395" s="240"/>
      <c r="D395" s="240"/>
      <c r="E395" s="62">
        <f>'13.0'!E16</f>
        <v>2750.09</v>
      </c>
    </row>
    <row r="396" spans="1:6" ht="14.25" customHeight="1" x14ac:dyDescent="0.2">
      <c r="A396" s="215" t="s">
        <v>1109</v>
      </c>
      <c r="B396" s="216"/>
      <c r="C396" s="216"/>
      <c r="D396" s="216"/>
      <c r="E396" s="62">
        <f>'13.0'!E18</f>
        <v>3437.62</v>
      </c>
    </row>
    <row r="397" spans="1:6" ht="14.25" customHeight="1" x14ac:dyDescent="0.2">
      <c r="A397" s="217" t="s">
        <v>1161</v>
      </c>
      <c r="B397" s="218"/>
      <c r="C397" s="218"/>
      <c r="D397" s="218"/>
      <c r="E397" s="69">
        <f>'13.0'!E19</f>
        <v>1718.81</v>
      </c>
    </row>
    <row r="398" spans="1:6" ht="14.25" customHeight="1" x14ac:dyDescent="0.2">
      <c r="A398" s="219" t="s">
        <v>1162</v>
      </c>
      <c r="B398" s="220"/>
      <c r="C398" s="220"/>
      <c r="D398" s="220"/>
      <c r="E398" s="63">
        <f>E395-E397</f>
        <v>1031.2800000000002</v>
      </c>
    </row>
    <row r="399" spans="1:6" x14ac:dyDescent="0.2">
      <c r="A399" s="60"/>
      <c r="B399" s="91"/>
      <c r="C399" s="91"/>
      <c r="E399" s="61"/>
    </row>
    <row r="400" spans="1:6" ht="17.25" customHeight="1" x14ac:dyDescent="0.2">
      <c r="A400" s="44" t="s">
        <v>1110</v>
      </c>
      <c r="B400" s="221" t="s">
        <v>292</v>
      </c>
      <c r="C400" s="221"/>
      <c r="D400" s="221"/>
      <c r="E400" s="221"/>
    </row>
    <row r="401" spans="1:6" s="43" customFormat="1" ht="40.5" customHeight="1" x14ac:dyDescent="0.2">
      <c r="A401" s="45" t="s">
        <v>1111</v>
      </c>
      <c r="B401" s="214" t="s">
        <v>294</v>
      </c>
      <c r="C401" s="214"/>
      <c r="D401" s="214"/>
      <c r="E401" s="214"/>
      <c r="F401" s="71" t="s">
        <v>865</v>
      </c>
    </row>
    <row r="402" spans="1:6" ht="28.5" customHeight="1" x14ac:dyDescent="0.2">
      <c r="A402" s="239" t="s">
        <v>1592</v>
      </c>
      <c r="B402" s="240"/>
      <c r="C402" s="240"/>
      <c r="D402" s="240"/>
      <c r="E402" s="62">
        <f>'15.0'!E16</f>
        <v>731.26</v>
      </c>
    </row>
    <row r="403" spans="1:6" ht="14.25" customHeight="1" x14ac:dyDescent="0.2">
      <c r="A403" s="215" t="s">
        <v>1112</v>
      </c>
      <c r="B403" s="216"/>
      <c r="C403" s="216"/>
      <c r="D403" s="216"/>
      <c r="E403" s="62">
        <f>Planilha!D162</f>
        <v>1151.44</v>
      </c>
    </row>
    <row r="404" spans="1:6" ht="14.25" customHeight="1" x14ac:dyDescent="0.2">
      <c r="A404" s="217" t="s">
        <v>1157</v>
      </c>
      <c r="B404" s="218"/>
      <c r="C404" s="218"/>
      <c r="D404" s="218"/>
      <c r="E404" s="69">
        <v>575.72</v>
      </c>
    </row>
    <row r="405" spans="1:6" ht="14.25" customHeight="1" x14ac:dyDescent="0.2">
      <c r="A405" s="219" t="s">
        <v>1158</v>
      </c>
      <c r="B405" s="220"/>
      <c r="C405" s="220"/>
      <c r="D405" s="220"/>
      <c r="E405" s="63">
        <f>E402-E404</f>
        <v>155.53999999999996</v>
      </c>
    </row>
    <row r="406" spans="1:6" x14ac:dyDescent="0.2">
      <c r="A406" s="60"/>
      <c r="B406" s="91"/>
      <c r="C406" s="91"/>
      <c r="E406" s="61"/>
    </row>
    <row r="407" spans="1:6" ht="17.25" customHeight="1" x14ac:dyDescent="0.2">
      <c r="A407" s="44" t="s">
        <v>1241</v>
      </c>
      <c r="B407" s="221" t="s">
        <v>296</v>
      </c>
      <c r="C407" s="221"/>
      <c r="D407" s="221"/>
      <c r="E407" s="221"/>
    </row>
    <row r="408" spans="1:6" s="43" customFormat="1" ht="45.75" customHeight="1" x14ac:dyDescent="0.2">
      <c r="A408" s="45" t="s">
        <v>1497</v>
      </c>
      <c r="B408" s="214" t="s">
        <v>298</v>
      </c>
      <c r="C408" s="214"/>
      <c r="D408" s="214"/>
      <c r="E408" s="214"/>
      <c r="F408" s="71" t="s">
        <v>865</v>
      </c>
    </row>
    <row r="409" spans="1:6" ht="14.25" customHeight="1" x14ac:dyDescent="0.2">
      <c r="A409" s="215" t="s">
        <v>1498</v>
      </c>
      <c r="B409" s="216"/>
      <c r="C409" s="216"/>
      <c r="D409" s="216"/>
      <c r="E409" s="62">
        <f>'16.0'!E23</f>
        <v>46</v>
      </c>
    </row>
    <row r="410" spans="1:6" ht="14.25" customHeight="1" x14ac:dyDescent="0.2">
      <c r="A410" s="215" t="s">
        <v>1499</v>
      </c>
      <c r="B410" s="216"/>
      <c r="C410" s="216"/>
      <c r="D410" s="216"/>
      <c r="E410" s="62">
        <v>61</v>
      </c>
    </row>
    <row r="411" spans="1:6" ht="14.25" customHeight="1" x14ac:dyDescent="0.2">
      <c r="A411" s="217" t="s">
        <v>1500</v>
      </c>
      <c r="B411" s="218"/>
      <c r="C411" s="218"/>
      <c r="D411" s="218"/>
      <c r="E411" s="69">
        <v>0</v>
      </c>
    </row>
    <row r="412" spans="1:6" ht="14.25" customHeight="1" x14ac:dyDescent="0.2">
      <c r="A412" s="219" t="s">
        <v>1501</v>
      </c>
      <c r="B412" s="220"/>
      <c r="C412" s="220"/>
      <c r="D412" s="220"/>
      <c r="E412" s="63">
        <f>E409-E411</f>
        <v>46</v>
      </c>
    </row>
    <row r="413" spans="1:6" x14ac:dyDescent="0.2">
      <c r="A413" s="60"/>
      <c r="B413" s="91"/>
      <c r="C413" s="91"/>
      <c r="E413" s="61"/>
    </row>
    <row r="414" spans="1:6" s="43" customFormat="1" ht="45.75" customHeight="1" x14ac:dyDescent="0.2">
      <c r="A414" s="45" t="s">
        <v>1502</v>
      </c>
      <c r="B414" s="214" t="s">
        <v>300</v>
      </c>
      <c r="C414" s="214"/>
      <c r="D414" s="214"/>
      <c r="E414" s="214"/>
      <c r="F414" s="71" t="s">
        <v>865</v>
      </c>
    </row>
    <row r="415" spans="1:6" ht="14.25" customHeight="1" x14ac:dyDescent="0.2">
      <c r="A415" s="215" t="s">
        <v>1498</v>
      </c>
      <c r="B415" s="216"/>
      <c r="C415" s="216"/>
      <c r="D415" s="216"/>
      <c r="E415" s="62">
        <f>'16.0'!E36</f>
        <v>16</v>
      </c>
    </row>
    <row r="416" spans="1:6" ht="14.25" customHeight="1" x14ac:dyDescent="0.2">
      <c r="A416" s="215" t="s">
        <v>1499</v>
      </c>
      <c r="B416" s="216"/>
      <c r="C416" s="216"/>
      <c r="D416" s="216"/>
      <c r="E416" s="62">
        <v>16</v>
      </c>
    </row>
    <row r="417" spans="1:6" ht="14.25" customHeight="1" x14ac:dyDescent="0.2">
      <c r="A417" s="217" t="s">
        <v>1500</v>
      </c>
      <c r="B417" s="218"/>
      <c r="C417" s="218"/>
      <c r="D417" s="218"/>
      <c r="E417" s="69">
        <v>0</v>
      </c>
    </row>
    <row r="418" spans="1:6" ht="14.25" customHeight="1" x14ac:dyDescent="0.2">
      <c r="A418" s="219" t="s">
        <v>1501</v>
      </c>
      <c r="B418" s="220"/>
      <c r="C418" s="220"/>
      <c r="D418" s="220"/>
      <c r="E418" s="63">
        <f>E415-E417</f>
        <v>16</v>
      </c>
    </row>
    <row r="419" spans="1:6" x14ac:dyDescent="0.2">
      <c r="A419" s="60"/>
      <c r="B419" s="91"/>
      <c r="C419" s="91"/>
      <c r="E419" s="61"/>
    </row>
    <row r="420" spans="1:6" ht="17.25" customHeight="1" x14ac:dyDescent="0.2">
      <c r="A420" s="68" t="s">
        <v>922</v>
      </c>
      <c r="B420" s="224" t="s">
        <v>314</v>
      </c>
      <c r="C420" s="224"/>
      <c r="D420" s="224"/>
      <c r="E420" s="224"/>
    </row>
    <row r="421" spans="1:6" ht="17.25" customHeight="1" x14ac:dyDescent="0.2">
      <c r="A421" s="68" t="s">
        <v>1504</v>
      </c>
      <c r="B421" s="224" t="s">
        <v>1520</v>
      </c>
      <c r="C421" s="224"/>
      <c r="D421" s="224"/>
      <c r="E421" s="224"/>
    </row>
    <row r="422" spans="1:6" s="43" customFormat="1" ht="22.5" customHeight="1" x14ac:dyDescent="0.2">
      <c r="A422" s="45" t="s">
        <v>1505</v>
      </c>
      <c r="B422" s="214" t="s">
        <v>370</v>
      </c>
      <c r="C422" s="214"/>
      <c r="D422" s="214"/>
      <c r="E422" s="214"/>
      <c r="F422" s="71" t="s">
        <v>865</v>
      </c>
    </row>
    <row r="423" spans="1:6" ht="14.25" customHeight="1" x14ac:dyDescent="0.2">
      <c r="A423" s="215" t="s">
        <v>1507</v>
      </c>
      <c r="B423" s="216"/>
      <c r="C423" s="216"/>
      <c r="D423" s="216"/>
      <c r="E423" s="62">
        <v>2</v>
      </c>
    </row>
    <row r="424" spans="1:6" ht="14.25" customHeight="1" x14ac:dyDescent="0.2">
      <c r="A424" s="215" t="s">
        <v>1521</v>
      </c>
      <c r="B424" s="216"/>
      <c r="C424" s="216"/>
      <c r="D424" s="216"/>
      <c r="E424" s="62">
        <v>4</v>
      </c>
    </row>
    <row r="425" spans="1:6" ht="14.25" customHeight="1" x14ac:dyDescent="0.2">
      <c r="A425" s="215" t="s">
        <v>1508</v>
      </c>
      <c r="B425" s="216"/>
      <c r="C425" s="216"/>
      <c r="D425" s="216"/>
      <c r="E425" s="62">
        <v>0</v>
      </c>
    </row>
    <row r="426" spans="1:6" ht="14.25" customHeight="1" x14ac:dyDescent="0.2">
      <c r="A426" s="219" t="s">
        <v>1509</v>
      </c>
      <c r="B426" s="220"/>
      <c r="C426" s="220"/>
      <c r="D426" s="220"/>
      <c r="E426" s="63">
        <f>E423</f>
        <v>2</v>
      </c>
    </row>
    <row r="427" spans="1:6" s="43" customFormat="1" ht="15" customHeight="1" x14ac:dyDescent="0.2">
      <c r="A427" s="241"/>
      <c r="B427" s="242"/>
      <c r="C427" s="242"/>
      <c r="D427" s="242"/>
      <c r="E427" s="92"/>
    </row>
    <row r="428" spans="1:6" s="43" customFormat="1" ht="22.5" customHeight="1" x14ac:dyDescent="0.2">
      <c r="A428" s="45" t="s">
        <v>1710</v>
      </c>
      <c r="B428" s="214" t="s">
        <v>382</v>
      </c>
      <c r="C428" s="214"/>
      <c r="D428" s="214"/>
      <c r="E428" s="214"/>
      <c r="F428" s="71" t="s">
        <v>865</v>
      </c>
    </row>
    <row r="429" spans="1:6" ht="14.25" customHeight="1" x14ac:dyDescent="0.2">
      <c r="A429" s="215" t="s">
        <v>1712</v>
      </c>
      <c r="B429" s="216"/>
      <c r="C429" s="216"/>
      <c r="D429" s="216"/>
      <c r="E429" s="62">
        <v>4</v>
      </c>
    </row>
    <row r="430" spans="1:6" ht="14.25" customHeight="1" x14ac:dyDescent="0.2">
      <c r="A430" s="215" t="s">
        <v>1715</v>
      </c>
      <c r="B430" s="216"/>
      <c r="C430" s="216"/>
      <c r="D430" s="216"/>
      <c r="E430" s="62">
        <v>7</v>
      </c>
    </row>
    <row r="431" spans="1:6" ht="14.25" customHeight="1" x14ac:dyDescent="0.2">
      <c r="A431" s="215" t="s">
        <v>1713</v>
      </c>
      <c r="B431" s="216"/>
      <c r="C431" s="216"/>
      <c r="D431" s="216"/>
      <c r="E431" s="62">
        <v>0</v>
      </c>
    </row>
    <row r="432" spans="1:6" ht="14.25" customHeight="1" x14ac:dyDescent="0.2">
      <c r="A432" s="219" t="s">
        <v>1714</v>
      </c>
      <c r="B432" s="220"/>
      <c r="C432" s="220"/>
      <c r="D432" s="220"/>
      <c r="E432" s="63">
        <f>E429</f>
        <v>4</v>
      </c>
    </row>
    <row r="433" spans="1:6" s="43" customFormat="1" ht="15" customHeight="1" x14ac:dyDescent="0.2">
      <c r="A433" s="241"/>
      <c r="B433" s="242"/>
      <c r="C433" s="242"/>
      <c r="D433" s="242"/>
      <c r="E433" s="92"/>
    </row>
    <row r="434" spans="1:6" ht="17.25" customHeight="1" x14ac:dyDescent="0.2">
      <c r="A434" s="68" t="s">
        <v>923</v>
      </c>
      <c r="B434" s="224" t="s">
        <v>384</v>
      </c>
      <c r="C434" s="224"/>
      <c r="D434" s="224"/>
      <c r="E434" s="224"/>
    </row>
    <row r="435" spans="1:6" s="43" customFormat="1" ht="38.25" customHeight="1" x14ac:dyDescent="0.2">
      <c r="A435" s="45" t="s">
        <v>1510</v>
      </c>
      <c r="B435" s="214" t="s">
        <v>388</v>
      </c>
      <c r="C435" s="214"/>
      <c r="D435" s="214"/>
      <c r="E435" s="214"/>
      <c r="F435" s="71" t="s">
        <v>865</v>
      </c>
    </row>
    <row r="436" spans="1:6" ht="14.25" customHeight="1" x14ac:dyDescent="0.2">
      <c r="A436" s="215" t="s">
        <v>1511</v>
      </c>
      <c r="B436" s="216"/>
      <c r="C436" s="216"/>
      <c r="D436" s="216"/>
      <c r="E436" s="62">
        <f>'17.0'!E31</f>
        <v>100</v>
      </c>
    </row>
    <row r="437" spans="1:6" ht="14.25" customHeight="1" x14ac:dyDescent="0.2">
      <c r="A437" s="215" t="s">
        <v>1512</v>
      </c>
      <c r="B437" s="216"/>
      <c r="C437" s="216"/>
      <c r="D437" s="216"/>
      <c r="E437" s="62">
        <v>100</v>
      </c>
    </row>
    <row r="438" spans="1:6" ht="14.25" customHeight="1" x14ac:dyDescent="0.2">
      <c r="A438" s="210" t="s">
        <v>1513</v>
      </c>
      <c r="B438" s="211"/>
      <c r="C438" s="211"/>
      <c r="D438" s="211"/>
      <c r="E438" s="62">
        <v>0</v>
      </c>
    </row>
    <row r="439" spans="1:6" ht="14.25" customHeight="1" x14ac:dyDescent="0.2">
      <c r="A439" s="212" t="s">
        <v>1514</v>
      </c>
      <c r="B439" s="213"/>
      <c r="C439" s="213"/>
      <c r="D439" s="213"/>
      <c r="E439" s="63">
        <f>E436</f>
        <v>100</v>
      </c>
    </row>
    <row r="440" spans="1:6" x14ac:dyDescent="0.2">
      <c r="A440" s="65"/>
      <c r="B440" s="46"/>
      <c r="C440" s="46"/>
      <c r="D440" s="46"/>
      <c r="E440" s="66"/>
    </row>
    <row r="441" spans="1:6" s="43" customFormat="1" ht="51.75" customHeight="1" x14ac:dyDescent="0.2">
      <c r="A441" s="45" t="s">
        <v>1515</v>
      </c>
      <c r="B441" s="214" t="s">
        <v>390</v>
      </c>
      <c r="C441" s="214"/>
      <c r="D441" s="214"/>
      <c r="E441" s="214"/>
      <c r="F441" s="71" t="s">
        <v>865</v>
      </c>
    </row>
    <row r="442" spans="1:6" ht="14.25" customHeight="1" x14ac:dyDescent="0.2">
      <c r="A442" s="215" t="s">
        <v>1516</v>
      </c>
      <c r="B442" s="216"/>
      <c r="C442" s="216"/>
      <c r="D442" s="216"/>
      <c r="E442" s="62">
        <f>'17.0'!E37</f>
        <v>62</v>
      </c>
    </row>
    <row r="443" spans="1:6" ht="14.25" customHeight="1" x14ac:dyDescent="0.2">
      <c r="A443" s="215" t="s">
        <v>1517</v>
      </c>
      <c r="B443" s="216"/>
      <c r="C443" s="216"/>
      <c r="D443" s="216"/>
      <c r="E443" s="62">
        <v>62</v>
      </c>
    </row>
    <row r="444" spans="1:6" ht="14.25" customHeight="1" x14ac:dyDescent="0.2">
      <c r="A444" s="217" t="s">
        <v>1518</v>
      </c>
      <c r="B444" s="218"/>
      <c r="C444" s="218"/>
      <c r="D444" s="218"/>
      <c r="E444" s="62">
        <v>0</v>
      </c>
    </row>
    <row r="445" spans="1:6" ht="14.25" customHeight="1" x14ac:dyDescent="0.2">
      <c r="A445" s="219" t="s">
        <v>1519</v>
      </c>
      <c r="B445" s="220"/>
      <c r="C445" s="220"/>
      <c r="D445" s="220"/>
      <c r="E445" s="63">
        <f>E442-E444</f>
        <v>62</v>
      </c>
    </row>
    <row r="446" spans="1:6" x14ac:dyDescent="0.2">
      <c r="A446" s="65"/>
      <c r="B446" s="46"/>
      <c r="C446" s="46"/>
      <c r="D446" s="46"/>
      <c r="E446" s="66"/>
    </row>
    <row r="447" spans="1:6" s="43" customFormat="1" ht="36.75" customHeight="1" x14ac:dyDescent="0.2">
      <c r="A447" s="45" t="s">
        <v>1522</v>
      </c>
      <c r="B447" s="214" t="s">
        <v>403</v>
      </c>
      <c r="C447" s="214"/>
      <c r="D447" s="214"/>
      <c r="E447" s="214"/>
      <c r="F447" s="71" t="s">
        <v>865</v>
      </c>
    </row>
    <row r="448" spans="1:6" ht="14.25" customHeight="1" x14ac:dyDescent="0.2">
      <c r="A448" s="215" t="s">
        <v>1523</v>
      </c>
      <c r="B448" s="216"/>
      <c r="C448" s="216"/>
      <c r="D448" s="216"/>
      <c r="E448" s="62">
        <f>'17.0'!E43</f>
        <v>4</v>
      </c>
    </row>
    <row r="449" spans="1:6" ht="14.25" customHeight="1" x14ac:dyDescent="0.2">
      <c r="A449" s="215" t="s">
        <v>1524</v>
      </c>
      <c r="B449" s="216"/>
      <c r="C449" s="216"/>
      <c r="D449" s="216"/>
      <c r="E449" s="62">
        <v>4</v>
      </c>
    </row>
    <row r="450" spans="1:6" ht="14.25" customHeight="1" x14ac:dyDescent="0.2">
      <c r="A450" s="217" t="s">
        <v>1527</v>
      </c>
      <c r="B450" s="218"/>
      <c r="C450" s="218"/>
      <c r="D450" s="218"/>
      <c r="E450" s="62">
        <v>0</v>
      </c>
    </row>
    <row r="451" spans="1:6" ht="14.25" customHeight="1" x14ac:dyDescent="0.2">
      <c r="A451" s="219" t="s">
        <v>1528</v>
      </c>
      <c r="B451" s="220"/>
      <c r="C451" s="220"/>
      <c r="D451" s="220"/>
      <c r="E451" s="63">
        <f>E448-E450</f>
        <v>4</v>
      </c>
    </row>
    <row r="452" spans="1:6" x14ac:dyDescent="0.2">
      <c r="A452" s="65"/>
      <c r="B452" s="46"/>
      <c r="C452" s="46"/>
      <c r="D452" s="46"/>
      <c r="E452" s="66"/>
    </row>
    <row r="453" spans="1:6" ht="17.25" customHeight="1" x14ac:dyDescent="0.2">
      <c r="A453" s="44" t="s">
        <v>959</v>
      </c>
      <c r="B453" s="221" t="s">
        <v>422</v>
      </c>
      <c r="C453" s="221"/>
      <c r="D453" s="221"/>
      <c r="E453" s="221"/>
    </row>
    <row r="454" spans="1:6" s="43" customFormat="1" ht="18.75" customHeight="1" x14ac:dyDescent="0.2">
      <c r="A454" s="68" t="s">
        <v>1725</v>
      </c>
      <c r="B454" s="224" t="s">
        <v>1726</v>
      </c>
      <c r="C454" s="224"/>
      <c r="D454" s="224"/>
      <c r="E454" s="224"/>
    </row>
    <row r="455" spans="1:6" s="43" customFormat="1" ht="56.25" customHeight="1" x14ac:dyDescent="0.2">
      <c r="A455" s="45" t="s">
        <v>1727</v>
      </c>
      <c r="B455" s="214" t="s">
        <v>426</v>
      </c>
      <c r="C455" s="214"/>
      <c r="D455" s="214"/>
      <c r="E455" s="214"/>
      <c r="F455" s="71" t="s">
        <v>865</v>
      </c>
    </row>
    <row r="456" spans="1:6" ht="14.25" customHeight="1" x14ac:dyDescent="0.2">
      <c r="A456" s="215" t="s">
        <v>1739</v>
      </c>
      <c r="B456" s="216"/>
      <c r="C456" s="216"/>
      <c r="D456" s="216"/>
      <c r="E456" s="62">
        <f>'18.0'!D25</f>
        <v>621</v>
      </c>
    </row>
    <row r="457" spans="1:6" ht="14.25" customHeight="1" x14ac:dyDescent="0.2">
      <c r="A457" s="215" t="s">
        <v>1740</v>
      </c>
      <c r="B457" s="216"/>
      <c r="C457" s="216"/>
      <c r="D457" s="216"/>
      <c r="E457" s="62">
        <v>889</v>
      </c>
    </row>
    <row r="458" spans="1:6" ht="14.25" customHeight="1" x14ac:dyDescent="0.2">
      <c r="A458" s="217" t="s">
        <v>1743</v>
      </c>
      <c r="B458" s="218"/>
      <c r="C458" s="218"/>
      <c r="D458" s="218"/>
      <c r="E458" s="69">
        <v>446</v>
      </c>
    </row>
    <row r="459" spans="1:6" ht="14.25" customHeight="1" x14ac:dyDescent="0.2">
      <c r="A459" s="219" t="s">
        <v>1744</v>
      </c>
      <c r="B459" s="220"/>
      <c r="C459" s="220"/>
      <c r="D459" s="220"/>
      <c r="E459" s="63">
        <f>E456-E458</f>
        <v>175</v>
      </c>
    </row>
    <row r="460" spans="1:6" x14ac:dyDescent="0.2">
      <c r="A460" s="60"/>
      <c r="B460" s="91"/>
      <c r="C460" s="91"/>
      <c r="E460" s="61"/>
    </row>
    <row r="461" spans="1:6" s="43" customFormat="1" ht="49.5" customHeight="1" x14ac:dyDescent="0.2">
      <c r="A461" s="45" t="s">
        <v>1733</v>
      </c>
      <c r="B461" s="214" t="s">
        <v>430</v>
      </c>
      <c r="C461" s="214"/>
      <c r="D461" s="214"/>
      <c r="E461" s="214"/>
      <c r="F461" s="71" t="s">
        <v>865</v>
      </c>
    </row>
    <row r="462" spans="1:6" ht="14.25" customHeight="1" x14ac:dyDescent="0.2">
      <c r="A462" s="215" t="s">
        <v>1741</v>
      </c>
      <c r="B462" s="216"/>
      <c r="C462" s="216"/>
      <c r="D462" s="216"/>
      <c r="E462" s="62">
        <f>'18.0'!D40</f>
        <v>544</v>
      </c>
    </row>
    <row r="463" spans="1:6" ht="14.25" customHeight="1" x14ac:dyDescent="0.2">
      <c r="A463" s="215" t="s">
        <v>1742</v>
      </c>
      <c r="B463" s="216"/>
      <c r="C463" s="216"/>
      <c r="D463" s="216"/>
      <c r="E463" s="62">
        <v>773</v>
      </c>
    </row>
    <row r="464" spans="1:6" ht="14.25" customHeight="1" x14ac:dyDescent="0.2">
      <c r="A464" s="217" t="s">
        <v>1745</v>
      </c>
      <c r="B464" s="218"/>
      <c r="C464" s="218"/>
      <c r="D464" s="218"/>
      <c r="E464" s="69">
        <v>414</v>
      </c>
    </row>
    <row r="465" spans="1:6" ht="14.25" customHeight="1" x14ac:dyDescent="0.2">
      <c r="A465" s="219" t="s">
        <v>1746</v>
      </c>
      <c r="B465" s="220"/>
      <c r="C465" s="220"/>
      <c r="D465" s="220"/>
      <c r="E465" s="63">
        <f>E462-E464</f>
        <v>130</v>
      </c>
    </row>
    <row r="466" spans="1:6" x14ac:dyDescent="0.2">
      <c r="A466" s="79"/>
      <c r="B466" s="80"/>
      <c r="C466" s="80"/>
      <c r="D466" s="46"/>
      <c r="E466" s="81"/>
    </row>
    <row r="467" spans="1:6" s="43" customFormat="1" ht="18.75" customHeight="1" x14ac:dyDescent="0.2">
      <c r="A467" s="68" t="s">
        <v>1529</v>
      </c>
      <c r="B467" s="224" t="s">
        <v>530</v>
      </c>
      <c r="C467" s="224"/>
      <c r="D467" s="224"/>
      <c r="E467" s="224"/>
    </row>
    <row r="468" spans="1:6" s="43" customFormat="1" ht="42.6" customHeight="1" x14ac:dyDescent="0.2">
      <c r="A468" s="45" t="s">
        <v>1532</v>
      </c>
      <c r="B468" s="214" t="s">
        <v>536</v>
      </c>
      <c r="C468" s="214"/>
      <c r="D468" s="214"/>
      <c r="E468" s="214"/>
      <c r="F468" s="71" t="s">
        <v>865</v>
      </c>
    </row>
    <row r="469" spans="1:6" ht="14.25" customHeight="1" x14ac:dyDescent="0.2">
      <c r="A469" s="215" t="s">
        <v>1531</v>
      </c>
      <c r="B469" s="216"/>
      <c r="C469" s="216"/>
      <c r="D469" s="216"/>
      <c r="E469" s="62">
        <f>'18.0'!D49</f>
        <v>42.3</v>
      </c>
    </row>
    <row r="470" spans="1:6" ht="14.25" customHeight="1" x14ac:dyDescent="0.2">
      <c r="A470" s="215" t="s">
        <v>1534</v>
      </c>
      <c r="B470" s="216"/>
      <c r="C470" s="216"/>
      <c r="D470" s="216"/>
      <c r="E470" s="62">
        <v>42.3</v>
      </c>
    </row>
    <row r="471" spans="1:6" ht="14.25" customHeight="1" x14ac:dyDescent="0.2">
      <c r="A471" s="217" t="s">
        <v>1535</v>
      </c>
      <c r="B471" s="218"/>
      <c r="C471" s="218"/>
      <c r="D471" s="218"/>
      <c r="E471" s="69">
        <v>0</v>
      </c>
    </row>
    <row r="472" spans="1:6" ht="14.25" customHeight="1" x14ac:dyDescent="0.2">
      <c r="A472" s="219" t="s">
        <v>1536</v>
      </c>
      <c r="B472" s="220"/>
      <c r="C472" s="220"/>
      <c r="D472" s="220"/>
      <c r="E472" s="63">
        <f>E469-E471</f>
        <v>42.3</v>
      </c>
    </row>
    <row r="473" spans="1:6" x14ac:dyDescent="0.2">
      <c r="A473" s="60"/>
      <c r="B473" s="91"/>
      <c r="C473" s="91"/>
      <c r="E473" s="61"/>
    </row>
    <row r="474" spans="1:6" s="43" customFormat="1" ht="49.5" customHeight="1" x14ac:dyDescent="0.2">
      <c r="A474" s="45" t="s">
        <v>1533</v>
      </c>
      <c r="B474" s="214" t="s">
        <v>430</v>
      </c>
      <c r="C474" s="214"/>
      <c r="D474" s="214"/>
      <c r="E474" s="214"/>
      <c r="F474" s="71" t="s">
        <v>865</v>
      </c>
    </row>
    <row r="475" spans="1:6" ht="14.25" customHeight="1" x14ac:dyDescent="0.2">
      <c r="A475" s="215" t="s">
        <v>1531</v>
      </c>
      <c r="B475" s="216"/>
      <c r="C475" s="216"/>
      <c r="D475" s="216"/>
      <c r="E475" s="62">
        <f>'18.0'!D58</f>
        <v>613.29999999999995</v>
      </c>
    </row>
    <row r="476" spans="1:6" ht="14.25" customHeight="1" x14ac:dyDescent="0.2">
      <c r="A476" s="215" t="s">
        <v>1534</v>
      </c>
      <c r="B476" s="216"/>
      <c r="C476" s="216"/>
      <c r="D476" s="216"/>
      <c r="E476" s="62">
        <v>613.29999999999995</v>
      </c>
    </row>
    <row r="477" spans="1:6" ht="14.25" customHeight="1" x14ac:dyDescent="0.2">
      <c r="A477" s="217" t="s">
        <v>1535</v>
      </c>
      <c r="B477" s="218"/>
      <c r="C477" s="218"/>
      <c r="D477" s="218"/>
      <c r="E477" s="69">
        <v>0</v>
      </c>
    </row>
    <row r="478" spans="1:6" ht="14.25" customHeight="1" x14ac:dyDescent="0.2">
      <c r="A478" s="219" t="s">
        <v>1536</v>
      </c>
      <c r="B478" s="220"/>
      <c r="C478" s="220"/>
      <c r="D478" s="220"/>
      <c r="E478" s="63">
        <f>E475-E477</f>
        <v>613.29999999999995</v>
      </c>
    </row>
    <row r="479" spans="1:6" x14ac:dyDescent="0.2">
      <c r="A479" s="79"/>
      <c r="B479" s="80"/>
      <c r="C479" s="80"/>
      <c r="D479" s="46"/>
      <c r="E479" s="81"/>
    </row>
    <row r="480" spans="1:6" s="43" customFormat="1" ht="18.75" hidden="1" customHeight="1" x14ac:dyDescent="0.2">
      <c r="A480" s="68" t="s">
        <v>993</v>
      </c>
      <c r="B480" s="224" t="s">
        <v>436</v>
      </c>
      <c r="C480" s="224"/>
      <c r="D480" s="224"/>
      <c r="E480" s="224"/>
    </row>
    <row r="481" spans="1:5" s="43" customFormat="1" ht="39" hidden="1" customHeight="1" x14ac:dyDescent="0.2">
      <c r="A481" s="45" t="s">
        <v>994</v>
      </c>
      <c r="B481" s="214" t="s">
        <v>440</v>
      </c>
      <c r="C481" s="214"/>
      <c r="D481" s="214"/>
      <c r="E481" s="214"/>
    </row>
    <row r="482" spans="1:5" ht="14.25" hidden="1" customHeight="1" x14ac:dyDescent="0.2">
      <c r="A482" s="215" t="s">
        <v>995</v>
      </c>
      <c r="B482" s="216"/>
      <c r="C482" s="216"/>
      <c r="D482" s="216"/>
      <c r="E482" s="62" t="e">
        <f>#REF!</f>
        <v>#REF!</v>
      </c>
    </row>
    <row r="483" spans="1:5" ht="14.25" hidden="1" customHeight="1" x14ac:dyDescent="0.2">
      <c r="A483" s="215" t="s">
        <v>996</v>
      </c>
      <c r="B483" s="216"/>
      <c r="C483" s="216"/>
      <c r="D483" s="216"/>
      <c r="E483" s="62">
        <v>21</v>
      </c>
    </row>
    <row r="484" spans="1:5" ht="14.25" hidden="1" customHeight="1" x14ac:dyDescent="0.2">
      <c r="A484" s="217" t="s">
        <v>997</v>
      </c>
      <c r="B484" s="218"/>
      <c r="C484" s="218"/>
      <c r="D484" s="218"/>
      <c r="E484" s="69">
        <v>0</v>
      </c>
    </row>
    <row r="485" spans="1:5" ht="14.25" hidden="1" customHeight="1" x14ac:dyDescent="0.2">
      <c r="A485" s="219" t="s">
        <v>998</v>
      </c>
      <c r="B485" s="220"/>
      <c r="C485" s="220"/>
      <c r="D485" s="220"/>
      <c r="E485" s="63" t="e">
        <f>E482-E484</f>
        <v>#REF!</v>
      </c>
    </row>
    <row r="486" spans="1:5" hidden="1" x14ac:dyDescent="0.2">
      <c r="A486" s="79"/>
      <c r="B486" s="80"/>
      <c r="C486" s="80"/>
      <c r="D486" s="46"/>
      <c r="E486" s="81"/>
    </row>
    <row r="487" spans="1:5" s="43" customFormat="1" ht="18.75" hidden="1" customHeight="1" x14ac:dyDescent="0.2">
      <c r="A487" s="68" t="s">
        <v>973</v>
      </c>
      <c r="B487" s="224" t="s">
        <v>470</v>
      </c>
      <c r="C487" s="224"/>
      <c r="D487" s="224"/>
      <c r="E487" s="224"/>
    </row>
    <row r="488" spans="1:5" s="43" customFormat="1" ht="39" hidden="1" customHeight="1" x14ac:dyDescent="0.2">
      <c r="A488" s="45" t="s">
        <v>974</v>
      </c>
      <c r="B488" s="214" t="s">
        <v>476</v>
      </c>
      <c r="C488" s="214"/>
      <c r="D488" s="214"/>
      <c r="E488" s="214"/>
    </row>
    <row r="489" spans="1:5" ht="14.25" hidden="1" customHeight="1" x14ac:dyDescent="0.2">
      <c r="A489" s="215" t="s">
        <v>975</v>
      </c>
      <c r="B489" s="216"/>
      <c r="C489" s="216"/>
      <c r="D489" s="216"/>
      <c r="E489" s="62" t="e">
        <f>#REF!</f>
        <v>#REF!</v>
      </c>
    </row>
    <row r="490" spans="1:5" ht="14.25" hidden="1" customHeight="1" x14ac:dyDescent="0.2">
      <c r="A490" s="215" t="s">
        <v>978</v>
      </c>
      <c r="B490" s="216"/>
      <c r="C490" s="216"/>
      <c r="D490" s="216"/>
      <c r="E490" s="62">
        <v>9</v>
      </c>
    </row>
    <row r="491" spans="1:5" ht="14.25" hidden="1" customHeight="1" x14ac:dyDescent="0.2">
      <c r="A491" s="217" t="s">
        <v>976</v>
      </c>
      <c r="B491" s="218"/>
      <c r="C491" s="218"/>
      <c r="D491" s="218"/>
      <c r="E491" s="69">
        <v>0</v>
      </c>
    </row>
    <row r="492" spans="1:5" ht="14.25" hidden="1" customHeight="1" x14ac:dyDescent="0.2">
      <c r="A492" s="219" t="s">
        <v>977</v>
      </c>
      <c r="B492" s="220"/>
      <c r="C492" s="220"/>
      <c r="D492" s="220"/>
      <c r="E492" s="63" t="e">
        <f>E489-E491</f>
        <v>#REF!</v>
      </c>
    </row>
    <row r="493" spans="1:5" hidden="1" x14ac:dyDescent="0.2">
      <c r="A493" s="79"/>
      <c r="B493" s="80"/>
      <c r="C493" s="80"/>
      <c r="D493" s="46"/>
      <c r="E493" s="81"/>
    </row>
    <row r="494" spans="1:5" s="43" customFormat="1" ht="39" hidden="1" customHeight="1" x14ac:dyDescent="0.2">
      <c r="A494" s="45" t="s">
        <v>979</v>
      </c>
      <c r="B494" s="214" t="s">
        <v>500</v>
      </c>
      <c r="C494" s="214"/>
      <c r="D494" s="214"/>
      <c r="E494" s="214"/>
    </row>
    <row r="495" spans="1:5" ht="14.25" hidden="1" customHeight="1" x14ac:dyDescent="0.2">
      <c r="A495" s="215" t="s">
        <v>980</v>
      </c>
      <c r="B495" s="216"/>
      <c r="C495" s="216"/>
      <c r="D495" s="216"/>
      <c r="E495" s="62" t="e">
        <f>#REF!</f>
        <v>#REF!</v>
      </c>
    </row>
    <row r="496" spans="1:5" ht="14.25" hidden="1" customHeight="1" x14ac:dyDescent="0.2">
      <c r="A496" s="215" t="s">
        <v>981</v>
      </c>
      <c r="B496" s="216"/>
      <c r="C496" s="216"/>
      <c r="D496" s="216"/>
      <c r="E496" s="62">
        <v>5</v>
      </c>
    </row>
    <row r="497" spans="1:5" ht="14.25" hidden="1" customHeight="1" x14ac:dyDescent="0.2">
      <c r="A497" s="217" t="s">
        <v>982</v>
      </c>
      <c r="B497" s="218"/>
      <c r="C497" s="218"/>
      <c r="D497" s="218"/>
      <c r="E497" s="69">
        <v>0</v>
      </c>
    </row>
    <row r="498" spans="1:5" ht="14.25" hidden="1" customHeight="1" x14ac:dyDescent="0.2">
      <c r="A498" s="219" t="s">
        <v>983</v>
      </c>
      <c r="B498" s="220"/>
      <c r="C498" s="220"/>
      <c r="D498" s="220"/>
      <c r="E498" s="63">
        <v>5</v>
      </c>
    </row>
    <row r="499" spans="1:5" ht="14.25" hidden="1" customHeight="1" x14ac:dyDescent="0.2">
      <c r="A499" s="233" t="s">
        <v>984</v>
      </c>
      <c r="B499" s="234"/>
      <c r="C499" s="234"/>
      <c r="D499" s="234"/>
      <c r="E499" s="93" t="e">
        <f>E496-E495</f>
        <v>#REF!</v>
      </c>
    </row>
    <row r="500" spans="1:5" hidden="1" x14ac:dyDescent="0.2">
      <c r="A500" s="79"/>
      <c r="B500" s="80"/>
      <c r="C500" s="80"/>
      <c r="D500" s="46"/>
      <c r="E500" s="81"/>
    </row>
    <row r="501" spans="1:5" s="43" customFormat="1" ht="39" hidden="1" customHeight="1" x14ac:dyDescent="0.2">
      <c r="A501" s="45" t="s">
        <v>507</v>
      </c>
      <c r="B501" s="214" t="s">
        <v>508</v>
      </c>
      <c r="C501" s="214"/>
      <c r="D501" s="214"/>
      <c r="E501" s="214"/>
    </row>
    <row r="502" spans="1:5" ht="14.25" hidden="1" customHeight="1" x14ac:dyDescent="0.2">
      <c r="A502" s="215" t="s">
        <v>985</v>
      </c>
      <c r="B502" s="216"/>
      <c r="C502" s="216"/>
      <c r="D502" s="216"/>
      <c r="E502" s="62" t="e">
        <f>#REF!</f>
        <v>#REF!</v>
      </c>
    </row>
    <row r="503" spans="1:5" ht="14.25" hidden="1" customHeight="1" x14ac:dyDescent="0.2">
      <c r="A503" s="215" t="s">
        <v>986</v>
      </c>
      <c r="B503" s="216"/>
      <c r="C503" s="216"/>
      <c r="D503" s="216"/>
      <c r="E503" s="62">
        <v>12</v>
      </c>
    </row>
    <row r="504" spans="1:5" ht="14.25" hidden="1" customHeight="1" x14ac:dyDescent="0.2">
      <c r="A504" s="217" t="s">
        <v>987</v>
      </c>
      <c r="B504" s="218"/>
      <c r="C504" s="218"/>
      <c r="D504" s="218"/>
      <c r="E504" s="69">
        <v>0</v>
      </c>
    </row>
    <row r="505" spans="1:5" ht="14.25" hidden="1" customHeight="1" x14ac:dyDescent="0.2">
      <c r="A505" s="219" t="s">
        <v>988</v>
      </c>
      <c r="B505" s="220"/>
      <c r="C505" s="220"/>
      <c r="D505" s="220"/>
      <c r="E505" s="63" t="e">
        <f>E502-E504</f>
        <v>#REF!</v>
      </c>
    </row>
    <row r="506" spans="1:5" hidden="1" x14ac:dyDescent="0.2">
      <c r="A506" s="79"/>
      <c r="B506" s="80"/>
      <c r="C506" s="80"/>
      <c r="D506" s="46"/>
      <c r="E506" s="81"/>
    </row>
    <row r="507" spans="1:5" s="43" customFormat="1" ht="39" hidden="1" customHeight="1" x14ac:dyDescent="0.2">
      <c r="A507" s="45" t="s">
        <v>509</v>
      </c>
      <c r="B507" s="214" t="s">
        <v>510</v>
      </c>
      <c r="C507" s="214"/>
      <c r="D507" s="214"/>
      <c r="E507" s="214"/>
    </row>
    <row r="508" spans="1:5" ht="14.25" hidden="1" customHeight="1" x14ac:dyDescent="0.2">
      <c r="A508" s="215" t="s">
        <v>989</v>
      </c>
      <c r="B508" s="216"/>
      <c r="C508" s="216"/>
      <c r="D508" s="216"/>
      <c r="E508" s="62" t="e">
        <f>#REF!</f>
        <v>#REF!</v>
      </c>
    </row>
    <row r="509" spans="1:5" ht="14.25" hidden="1" customHeight="1" x14ac:dyDescent="0.2">
      <c r="A509" s="215" t="s">
        <v>990</v>
      </c>
      <c r="B509" s="216"/>
      <c r="C509" s="216"/>
      <c r="D509" s="216"/>
      <c r="E509" s="62">
        <v>1</v>
      </c>
    </row>
    <row r="510" spans="1:5" ht="14.25" hidden="1" customHeight="1" x14ac:dyDescent="0.2">
      <c r="A510" s="217" t="s">
        <v>991</v>
      </c>
      <c r="B510" s="218"/>
      <c r="C510" s="218"/>
      <c r="D510" s="218"/>
      <c r="E510" s="69">
        <v>0</v>
      </c>
    </row>
    <row r="511" spans="1:5" ht="14.25" hidden="1" customHeight="1" x14ac:dyDescent="0.2">
      <c r="A511" s="219" t="s">
        <v>992</v>
      </c>
      <c r="B511" s="220"/>
      <c r="C511" s="220"/>
      <c r="D511" s="220"/>
      <c r="E511" s="63">
        <v>1</v>
      </c>
    </row>
    <row r="512" spans="1:5" ht="14.25" hidden="1" customHeight="1" x14ac:dyDescent="0.2">
      <c r="A512" s="233" t="s">
        <v>984</v>
      </c>
      <c r="B512" s="234"/>
      <c r="C512" s="234"/>
      <c r="D512" s="234"/>
      <c r="E512" s="93" t="e">
        <f>E509-E508</f>
        <v>#REF!</v>
      </c>
    </row>
    <row r="513" spans="1:6" hidden="1" x14ac:dyDescent="0.2">
      <c r="A513" s="79"/>
      <c r="B513" s="80"/>
      <c r="C513" s="80"/>
      <c r="D513" s="46"/>
      <c r="E513" s="81"/>
    </row>
    <row r="514" spans="1:6" s="43" customFormat="1" ht="49.5" hidden="1" customHeight="1" x14ac:dyDescent="0.2">
      <c r="A514" s="45" t="s">
        <v>1242</v>
      </c>
      <c r="B514" s="214" t="s">
        <v>434</v>
      </c>
      <c r="C514" s="214"/>
      <c r="D514" s="214"/>
      <c r="E514" s="214"/>
      <c r="F514" s="43" t="s">
        <v>865</v>
      </c>
    </row>
    <row r="515" spans="1:6" ht="14.25" hidden="1" customHeight="1" x14ac:dyDescent="0.2">
      <c r="A515" s="215" t="s">
        <v>1243</v>
      </c>
      <c r="B515" s="216"/>
      <c r="C515" s="216"/>
      <c r="D515" s="216"/>
      <c r="E515" s="62">
        <v>4</v>
      </c>
    </row>
    <row r="516" spans="1:6" ht="14.25" hidden="1" customHeight="1" x14ac:dyDescent="0.2">
      <c r="A516" s="215" t="s">
        <v>1244</v>
      </c>
      <c r="B516" s="216"/>
      <c r="C516" s="216"/>
      <c r="D516" s="216"/>
      <c r="E516" s="62">
        <v>4</v>
      </c>
    </row>
    <row r="517" spans="1:6" ht="14.25" hidden="1" customHeight="1" x14ac:dyDescent="0.2">
      <c r="A517" s="217" t="s">
        <v>1245</v>
      </c>
      <c r="B517" s="218"/>
      <c r="C517" s="218"/>
      <c r="D517" s="218"/>
      <c r="E517" s="69">
        <v>0</v>
      </c>
    </row>
    <row r="518" spans="1:6" ht="14.25" hidden="1" customHeight="1" x14ac:dyDescent="0.2">
      <c r="A518" s="219" t="s">
        <v>1246</v>
      </c>
      <c r="B518" s="220"/>
      <c r="C518" s="220"/>
      <c r="D518" s="220"/>
      <c r="E518" s="63">
        <f>E515-E517</f>
        <v>4</v>
      </c>
    </row>
    <row r="519" spans="1:6" hidden="1" x14ac:dyDescent="0.2">
      <c r="A519" s="79"/>
      <c r="B519" s="80"/>
      <c r="C519" s="80"/>
      <c r="D519" s="46"/>
      <c r="E519" s="81"/>
    </row>
    <row r="520" spans="1:6" s="43" customFormat="1" ht="18.75" customHeight="1" x14ac:dyDescent="0.2">
      <c r="A520" s="68" t="s">
        <v>999</v>
      </c>
      <c r="B520" s="224" t="s">
        <v>613</v>
      </c>
      <c r="C520" s="224"/>
      <c r="D520" s="224"/>
      <c r="E520" s="224"/>
    </row>
    <row r="521" spans="1:6" s="43" customFormat="1" ht="39" hidden="1" customHeight="1" x14ac:dyDescent="0.2">
      <c r="A521" s="45" t="s">
        <v>1000</v>
      </c>
      <c r="B521" s="214" t="s">
        <v>619</v>
      </c>
      <c r="C521" s="214"/>
      <c r="D521" s="214"/>
      <c r="E521" s="214"/>
    </row>
    <row r="522" spans="1:6" ht="14.25" hidden="1" customHeight="1" x14ac:dyDescent="0.2">
      <c r="A522" s="215" t="s">
        <v>1001</v>
      </c>
      <c r="B522" s="216"/>
      <c r="C522" s="216"/>
      <c r="D522" s="216"/>
      <c r="E522" s="62" t="e">
        <f>#REF!</f>
        <v>#REF!</v>
      </c>
    </row>
    <row r="523" spans="1:6" ht="14.25" hidden="1" customHeight="1" x14ac:dyDescent="0.2">
      <c r="A523" s="215" t="s">
        <v>1002</v>
      </c>
      <c r="B523" s="216"/>
      <c r="C523" s="216"/>
      <c r="D523" s="216"/>
      <c r="E523" s="62">
        <v>19.5</v>
      </c>
    </row>
    <row r="524" spans="1:6" ht="14.25" hidden="1" customHeight="1" x14ac:dyDescent="0.2">
      <c r="A524" s="217" t="s">
        <v>1003</v>
      </c>
      <c r="B524" s="218"/>
      <c r="C524" s="218"/>
      <c r="D524" s="218"/>
      <c r="E524" s="69">
        <v>0</v>
      </c>
    </row>
    <row r="525" spans="1:6" ht="14.25" hidden="1" customHeight="1" x14ac:dyDescent="0.2">
      <c r="A525" s="219" t="s">
        <v>1004</v>
      </c>
      <c r="B525" s="220"/>
      <c r="C525" s="220"/>
      <c r="D525" s="220"/>
      <c r="E525" s="63">
        <v>19.5</v>
      </c>
    </row>
    <row r="526" spans="1:6" ht="14.25" hidden="1" customHeight="1" x14ac:dyDescent="0.2">
      <c r="A526" s="233" t="s">
        <v>1005</v>
      </c>
      <c r="B526" s="234"/>
      <c r="C526" s="234"/>
      <c r="D526" s="234"/>
      <c r="E526" s="93" t="e">
        <f>E523-E522</f>
        <v>#REF!</v>
      </c>
    </row>
    <row r="527" spans="1:6" hidden="1" x14ac:dyDescent="0.2">
      <c r="A527" s="79"/>
      <c r="B527" s="80"/>
      <c r="C527" s="80"/>
      <c r="D527" s="46"/>
      <c r="E527" s="81"/>
    </row>
    <row r="528" spans="1:6" ht="17.25" hidden="1" customHeight="1" x14ac:dyDescent="0.2">
      <c r="A528" s="44" t="s">
        <v>1013</v>
      </c>
      <c r="B528" s="221" t="s">
        <v>643</v>
      </c>
      <c r="C528" s="221"/>
      <c r="D528" s="221"/>
      <c r="E528" s="221"/>
    </row>
    <row r="529" spans="1:6" s="43" customFormat="1" ht="57.75" hidden="1" customHeight="1" x14ac:dyDescent="0.2">
      <c r="A529" s="45" t="s">
        <v>1014</v>
      </c>
      <c r="B529" s="214" t="s">
        <v>1015</v>
      </c>
      <c r="C529" s="214"/>
      <c r="D529" s="214"/>
      <c r="E529" s="214"/>
    </row>
    <row r="530" spans="1:6" ht="14.25" hidden="1" customHeight="1" x14ac:dyDescent="0.2">
      <c r="A530" s="215" t="s">
        <v>1016</v>
      </c>
      <c r="B530" s="216"/>
      <c r="C530" s="216"/>
      <c r="D530" s="216"/>
      <c r="E530" s="62">
        <v>0.5</v>
      </c>
    </row>
    <row r="531" spans="1:6" ht="14.25" hidden="1" customHeight="1" x14ac:dyDescent="0.2">
      <c r="A531" s="215" t="s">
        <v>1017</v>
      </c>
      <c r="B531" s="216"/>
      <c r="C531" s="216"/>
      <c r="D531" s="216"/>
      <c r="E531" s="62">
        <v>2</v>
      </c>
    </row>
    <row r="532" spans="1:6" ht="14.25" hidden="1" customHeight="1" x14ac:dyDescent="0.2">
      <c r="A532" s="217" t="s">
        <v>1018</v>
      </c>
      <c r="B532" s="218"/>
      <c r="C532" s="218"/>
      <c r="D532" s="218"/>
      <c r="E532" s="69">
        <v>1</v>
      </c>
    </row>
    <row r="533" spans="1:6" ht="14.25" hidden="1" customHeight="1" x14ac:dyDescent="0.2">
      <c r="A533" s="219" t="s">
        <v>1019</v>
      </c>
      <c r="B533" s="220"/>
      <c r="C533" s="220"/>
      <c r="D533" s="220"/>
      <c r="E533" s="63">
        <f>E530</f>
        <v>0.5</v>
      </c>
    </row>
    <row r="534" spans="1:6" hidden="1" x14ac:dyDescent="0.2">
      <c r="A534" s="60"/>
      <c r="B534" s="91"/>
      <c r="C534" s="91"/>
      <c r="E534" s="61"/>
    </row>
    <row r="535" spans="1:6" hidden="1" x14ac:dyDescent="0.2">
      <c r="A535" s="60"/>
      <c r="B535" s="91"/>
      <c r="C535" s="91"/>
      <c r="E535" s="61"/>
    </row>
    <row r="536" spans="1:6" s="43" customFormat="1" ht="24.75" customHeight="1" x14ac:dyDescent="0.2">
      <c r="A536" s="45" t="s">
        <v>1537</v>
      </c>
      <c r="B536" s="214" t="s">
        <v>627</v>
      </c>
      <c r="C536" s="214"/>
      <c r="D536" s="214"/>
      <c r="E536" s="214"/>
      <c r="F536" s="71" t="s">
        <v>865</v>
      </c>
    </row>
    <row r="537" spans="1:6" ht="14.25" customHeight="1" x14ac:dyDescent="0.2">
      <c r="A537" s="215" t="s">
        <v>1538</v>
      </c>
      <c r="B537" s="216"/>
      <c r="C537" s="216"/>
      <c r="D537" s="216"/>
      <c r="E537" s="62">
        <f>'18.0'!D127</f>
        <v>1</v>
      </c>
    </row>
    <row r="538" spans="1:6" ht="14.25" customHeight="1" x14ac:dyDescent="0.2">
      <c r="A538" s="215" t="s">
        <v>1539</v>
      </c>
      <c r="B538" s="216"/>
      <c r="C538" s="216"/>
      <c r="D538" s="216"/>
      <c r="E538" s="62">
        <v>10.3</v>
      </c>
    </row>
    <row r="539" spans="1:6" ht="14.25" customHeight="1" x14ac:dyDescent="0.2">
      <c r="A539" s="217" t="s">
        <v>1540</v>
      </c>
      <c r="B539" s="218"/>
      <c r="C539" s="218"/>
      <c r="D539" s="218"/>
      <c r="E539" s="69">
        <v>0</v>
      </c>
    </row>
    <row r="540" spans="1:6" ht="14.25" customHeight="1" x14ac:dyDescent="0.2">
      <c r="A540" s="219" t="s">
        <v>1541</v>
      </c>
      <c r="B540" s="220"/>
      <c r="C540" s="220"/>
      <c r="D540" s="220"/>
      <c r="E540" s="63">
        <f>E537</f>
        <v>1</v>
      </c>
    </row>
    <row r="541" spans="1:6" x14ac:dyDescent="0.2">
      <c r="A541" s="79"/>
      <c r="B541" s="80"/>
      <c r="C541" s="80"/>
      <c r="D541" s="46"/>
      <c r="E541" s="81"/>
    </row>
    <row r="542" spans="1:6" ht="17.25" hidden="1" customHeight="1" x14ac:dyDescent="0.2">
      <c r="A542" s="44" t="s">
        <v>1013</v>
      </c>
      <c r="B542" s="221" t="s">
        <v>643</v>
      </c>
      <c r="C542" s="221"/>
      <c r="D542" s="221"/>
      <c r="E542" s="221"/>
    </row>
    <row r="543" spans="1:6" s="43" customFormat="1" ht="52.5" hidden="1" customHeight="1" x14ac:dyDescent="0.2">
      <c r="A543" s="45" t="s">
        <v>1014</v>
      </c>
      <c r="B543" s="214" t="s">
        <v>1247</v>
      </c>
      <c r="C543" s="214"/>
      <c r="D543" s="214"/>
      <c r="E543" s="214"/>
      <c r="F543" s="43" t="s">
        <v>865</v>
      </c>
    </row>
    <row r="544" spans="1:6" ht="14.25" hidden="1" customHeight="1" x14ac:dyDescent="0.2">
      <c r="A544" s="215" t="s">
        <v>1248</v>
      </c>
      <c r="B544" s="216"/>
      <c r="C544" s="216"/>
      <c r="D544" s="216"/>
      <c r="E544" s="62">
        <v>0.5</v>
      </c>
    </row>
    <row r="545" spans="1:5" ht="14.25" hidden="1" customHeight="1" x14ac:dyDescent="0.2">
      <c r="A545" s="215" t="s">
        <v>1251</v>
      </c>
      <c r="B545" s="216"/>
      <c r="C545" s="216"/>
      <c r="D545" s="216"/>
      <c r="E545" s="62">
        <v>2</v>
      </c>
    </row>
    <row r="546" spans="1:5" ht="14.25" hidden="1" customHeight="1" x14ac:dyDescent="0.2">
      <c r="A546" s="215" t="s">
        <v>1250</v>
      </c>
      <c r="B546" s="216"/>
      <c r="C546" s="216"/>
      <c r="D546" s="216"/>
      <c r="E546" s="62">
        <v>1.5</v>
      </c>
    </row>
    <row r="547" spans="1:5" ht="14.25" hidden="1" customHeight="1" x14ac:dyDescent="0.2">
      <c r="A547" s="219" t="s">
        <v>1249</v>
      </c>
      <c r="B547" s="220"/>
      <c r="C547" s="220"/>
      <c r="D547" s="220"/>
      <c r="E547" s="63">
        <f>E544</f>
        <v>0.5</v>
      </c>
    </row>
    <row r="548" spans="1:5" hidden="1" x14ac:dyDescent="0.2">
      <c r="A548" s="60"/>
      <c r="B548" s="91"/>
      <c r="C548" s="91"/>
      <c r="E548" s="61"/>
    </row>
    <row r="549" spans="1:5" ht="17.25" hidden="1" customHeight="1" x14ac:dyDescent="0.2">
      <c r="A549" s="44" t="s">
        <v>1089</v>
      </c>
      <c r="B549" s="221" t="s">
        <v>653</v>
      </c>
      <c r="C549" s="221"/>
      <c r="D549" s="221"/>
      <c r="E549" s="221"/>
    </row>
    <row r="550" spans="1:5" s="43" customFormat="1" ht="34.5" hidden="1" customHeight="1" x14ac:dyDescent="0.2">
      <c r="A550" s="45" t="s">
        <v>1090</v>
      </c>
      <c r="B550" s="214" t="s">
        <v>655</v>
      </c>
      <c r="C550" s="214"/>
      <c r="D550" s="214"/>
      <c r="E550" s="214"/>
    </row>
    <row r="551" spans="1:5" ht="14.25" hidden="1" customHeight="1" x14ac:dyDescent="0.2">
      <c r="A551" s="215" t="s">
        <v>1092</v>
      </c>
      <c r="B551" s="216"/>
      <c r="C551" s="216"/>
      <c r="D551" s="216"/>
      <c r="E551" s="62" t="e">
        <f>#REF!</f>
        <v>#REF!</v>
      </c>
    </row>
    <row r="552" spans="1:5" ht="14.25" hidden="1" customHeight="1" x14ac:dyDescent="0.2">
      <c r="A552" s="215" t="s">
        <v>1094</v>
      </c>
      <c r="B552" s="216"/>
      <c r="C552" s="216"/>
      <c r="D552" s="216"/>
      <c r="E552" s="62">
        <v>0</v>
      </c>
    </row>
    <row r="553" spans="1:5" ht="14.25" hidden="1" customHeight="1" x14ac:dyDescent="0.2">
      <c r="A553" s="219" t="s">
        <v>1095</v>
      </c>
      <c r="B553" s="220"/>
      <c r="C553" s="220"/>
      <c r="D553" s="220"/>
      <c r="E553" s="63" t="e">
        <f>E551-E552</f>
        <v>#REF!</v>
      </c>
    </row>
    <row r="554" spans="1:5" hidden="1" x14ac:dyDescent="0.2">
      <c r="A554" s="60"/>
      <c r="B554" s="91"/>
      <c r="C554" s="91"/>
      <c r="E554" s="61"/>
    </row>
    <row r="555" spans="1:5" s="43" customFormat="1" ht="45" hidden="1" customHeight="1" x14ac:dyDescent="0.2">
      <c r="A555" s="45" t="s">
        <v>1093</v>
      </c>
      <c r="B555" s="214" t="s">
        <v>657</v>
      </c>
      <c r="C555" s="214"/>
      <c r="D555" s="214"/>
      <c r="E555" s="214"/>
    </row>
    <row r="556" spans="1:5" ht="14.25" hidden="1" customHeight="1" x14ac:dyDescent="0.2">
      <c r="A556" s="215" t="s">
        <v>1104</v>
      </c>
      <c r="B556" s="216"/>
      <c r="C556" s="216"/>
      <c r="D556" s="216"/>
      <c r="E556" s="62" t="e">
        <f>#REF!</f>
        <v>#REF!</v>
      </c>
    </row>
    <row r="557" spans="1:5" ht="14.25" hidden="1" customHeight="1" x14ac:dyDescent="0.2">
      <c r="A557" s="215" t="s">
        <v>1105</v>
      </c>
      <c r="B557" s="216"/>
      <c r="C557" s="216"/>
      <c r="D557" s="216"/>
      <c r="E557" s="62">
        <v>0</v>
      </c>
    </row>
    <row r="558" spans="1:5" ht="14.25" hidden="1" customHeight="1" x14ac:dyDescent="0.2">
      <c r="A558" s="219" t="s">
        <v>1106</v>
      </c>
      <c r="B558" s="220"/>
      <c r="C558" s="220"/>
      <c r="D558" s="220"/>
      <c r="E558" s="63" t="e">
        <f>E556</f>
        <v>#REF!</v>
      </c>
    </row>
    <row r="559" spans="1:5" hidden="1" x14ac:dyDescent="0.2">
      <c r="A559" s="79"/>
      <c r="B559" s="80"/>
      <c r="C559" s="80"/>
      <c r="D559" s="46"/>
      <c r="E559" s="81"/>
    </row>
    <row r="560" spans="1:5" s="43" customFormat="1" ht="45" hidden="1" customHeight="1" x14ac:dyDescent="0.2">
      <c r="A560" s="45" t="s">
        <v>1096</v>
      </c>
      <c r="B560" s="214" t="s">
        <v>659</v>
      </c>
      <c r="C560" s="214"/>
      <c r="D560" s="214"/>
      <c r="E560" s="214"/>
    </row>
    <row r="561" spans="1:6" ht="14.25" hidden="1" customHeight="1" x14ac:dyDescent="0.2">
      <c r="A561" s="215" t="s">
        <v>1101</v>
      </c>
      <c r="B561" s="216"/>
      <c r="C561" s="216"/>
      <c r="D561" s="216"/>
      <c r="E561" s="62" t="e">
        <f>#REF!</f>
        <v>#REF!</v>
      </c>
    </row>
    <row r="562" spans="1:6" ht="14.25" hidden="1" customHeight="1" x14ac:dyDescent="0.2">
      <c r="A562" s="215" t="s">
        <v>1102</v>
      </c>
      <c r="B562" s="216"/>
      <c r="C562" s="216"/>
      <c r="D562" s="216"/>
      <c r="E562" s="62">
        <v>0</v>
      </c>
    </row>
    <row r="563" spans="1:6" ht="14.25" hidden="1" customHeight="1" x14ac:dyDescent="0.2">
      <c r="A563" s="219" t="s">
        <v>1103</v>
      </c>
      <c r="B563" s="220"/>
      <c r="C563" s="220"/>
      <c r="D563" s="220"/>
      <c r="E563" s="63" t="e">
        <f>E561</f>
        <v>#REF!</v>
      </c>
    </row>
    <row r="564" spans="1:6" hidden="1" x14ac:dyDescent="0.2">
      <c r="A564" s="79"/>
      <c r="B564" s="80"/>
      <c r="C564" s="80"/>
      <c r="D564" s="46"/>
      <c r="E564" s="81"/>
    </row>
    <row r="565" spans="1:6" s="43" customFormat="1" ht="45" hidden="1" customHeight="1" x14ac:dyDescent="0.2">
      <c r="A565" s="45" t="s">
        <v>1097</v>
      </c>
      <c r="B565" s="214" t="s">
        <v>661</v>
      </c>
      <c r="C565" s="214"/>
      <c r="D565" s="214"/>
      <c r="E565" s="214"/>
    </row>
    <row r="566" spans="1:6" ht="14.25" hidden="1" customHeight="1" x14ac:dyDescent="0.2">
      <c r="A566" s="215" t="s">
        <v>1098</v>
      </c>
      <c r="B566" s="216"/>
      <c r="C566" s="216"/>
      <c r="D566" s="216"/>
      <c r="E566" s="62" t="e">
        <f>#REF!</f>
        <v>#REF!</v>
      </c>
    </row>
    <row r="567" spans="1:6" ht="14.25" hidden="1" customHeight="1" x14ac:dyDescent="0.2">
      <c r="A567" s="215" t="s">
        <v>1099</v>
      </c>
      <c r="B567" s="216"/>
      <c r="C567" s="216"/>
      <c r="D567" s="216"/>
      <c r="E567" s="62">
        <v>0</v>
      </c>
    </row>
    <row r="568" spans="1:6" ht="14.25" hidden="1" customHeight="1" x14ac:dyDescent="0.2">
      <c r="A568" s="219" t="s">
        <v>1100</v>
      </c>
      <c r="B568" s="220"/>
      <c r="C568" s="220"/>
      <c r="D568" s="220"/>
      <c r="E568" s="63" t="e">
        <f>E566</f>
        <v>#REF!</v>
      </c>
    </row>
    <row r="569" spans="1:6" hidden="1" x14ac:dyDescent="0.2">
      <c r="A569" s="79"/>
      <c r="B569" s="80"/>
      <c r="C569" s="80"/>
      <c r="D569" s="46"/>
      <c r="E569" s="81"/>
    </row>
    <row r="570" spans="1:6" s="43" customFormat="1" ht="24.75" customHeight="1" x14ac:dyDescent="0.2">
      <c r="A570" s="45" t="s">
        <v>1716</v>
      </c>
      <c r="B570" s="214" t="s">
        <v>637</v>
      </c>
      <c r="C570" s="214"/>
      <c r="D570" s="214"/>
      <c r="E570" s="214"/>
      <c r="F570" s="71" t="s">
        <v>865</v>
      </c>
    </row>
    <row r="571" spans="1:6" ht="14.25" customHeight="1" x14ac:dyDescent="0.2">
      <c r="A571" s="215" t="s">
        <v>1717</v>
      </c>
      <c r="B571" s="216"/>
      <c r="C571" s="216"/>
      <c r="D571" s="216"/>
      <c r="E571" s="62">
        <f>'18.0'!D146</f>
        <v>887.88</v>
      </c>
    </row>
    <row r="572" spans="1:6" ht="14.25" customHeight="1" x14ac:dyDescent="0.2">
      <c r="A572" s="215" t="s">
        <v>1718</v>
      </c>
      <c r="B572" s="216"/>
      <c r="C572" s="216"/>
      <c r="D572" s="216"/>
      <c r="E572" s="62">
        <v>2669.7</v>
      </c>
    </row>
    <row r="573" spans="1:6" ht="14.25" customHeight="1" x14ac:dyDescent="0.2">
      <c r="A573" s="217" t="s">
        <v>1719</v>
      </c>
      <c r="B573" s="218"/>
      <c r="C573" s="218"/>
      <c r="D573" s="218"/>
      <c r="E573" s="69">
        <v>0</v>
      </c>
    </row>
    <row r="574" spans="1:6" ht="14.25" customHeight="1" x14ac:dyDescent="0.2">
      <c r="A574" s="219" t="s">
        <v>1720</v>
      </c>
      <c r="B574" s="220"/>
      <c r="C574" s="220"/>
      <c r="D574" s="220"/>
      <c r="E574" s="63">
        <f>E571</f>
        <v>887.88</v>
      </c>
    </row>
    <row r="575" spans="1:6" x14ac:dyDescent="0.2">
      <c r="A575" s="79"/>
      <c r="B575" s="80"/>
      <c r="C575" s="80"/>
      <c r="D575" s="46"/>
      <c r="E575" s="81"/>
    </row>
    <row r="576" spans="1:6" s="43" customFormat="1" ht="18.75" customHeight="1" x14ac:dyDescent="0.2">
      <c r="A576" s="68" t="s">
        <v>1595</v>
      </c>
      <c r="B576" s="224" t="s">
        <v>569</v>
      </c>
      <c r="C576" s="224"/>
      <c r="D576" s="224"/>
      <c r="E576" s="224"/>
    </row>
    <row r="577" spans="1:6" s="43" customFormat="1" ht="39" hidden="1" customHeight="1" x14ac:dyDescent="0.2">
      <c r="A577" s="45" t="s">
        <v>1000</v>
      </c>
      <c r="B577" s="214" t="s">
        <v>619</v>
      </c>
      <c r="C577" s="214"/>
      <c r="D577" s="214"/>
      <c r="E577" s="214"/>
    </row>
    <row r="578" spans="1:6" ht="14.25" hidden="1" customHeight="1" x14ac:dyDescent="0.2">
      <c r="A578" s="215" t="s">
        <v>1001</v>
      </c>
      <c r="B578" s="216"/>
      <c r="C578" s="216"/>
      <c r="D578" s="216"/>
      <c r="E578" s="62" t="e">
        <f>#REF!</f>
        <v>#REF!</v>
      </c>
    </row>
    <row r="579" spans="1:6" ht="14.25" hidden="1" customHeight="1" x14ac:dyDescent="0.2">
      <c r="A579" s="215" t="s">
        <v>1002</v>
      </c>
      <c r="B579" s="216"/>
      <c r="C579" s="216"/>
      <c r="D579" s="216"/>
      <c r="E579" s="62">
        <v>19.5</v>
      </c>
    </row>
    <row r="580" spans="1:6" ht="14.25" hidden="1" customHeight="1" x14ac:dyDescent="0.2">
      <c r="A580" s="217" t="s">
        <v>1003</v>
      </c>
      <c r="B580" s="218"/>
      <c r="C580" s="218"/>
      <c r="D580" s="218"/>
      <c r="E580" s="69">
        <v>0</v>
      </c>
    </row>
    <row r="581" spans="1:6" ht="14.25" hidden="1" customHeight="1" x14ac:dyDescent="0.2">
      <c r="A581" s="219" t="s">
        <v>1004</v>
      </c>
      <c r="B581" s="220"/>
      <c r="C581" s="220"/>
      <c r="D581" s="220"/>
      <c r="E581" s="63">
        <v>19.5</v>
      </c>
    </row>
    <row r="582" spans="1:6" ht="14.25" hidden="1" customHeight="1" x14ac:dyDescent="0.2">
      <c r="A582" s="233" t="s">
        <v>1005</v>
      </c>
      <c r="B582" s="234"/>
      <c r="C582" s="234"/>
      <c r="D582" s="234"/>
      <c r="E582" s="93" t="e">
        <f>E579-E578</f>
        <v>#REF!</v>
      </c>
    </row>
    <row r="583" spans="1:6" hidden="1" x14ac:dyDescent="0.2">
      <c r="A583" s="79"/>
      <c r="B583" s="80"/>
      <c r="C583" s="80"/>
      <c r="D583" s="46"/>
      <c r="E583" s="81"/>
    </row>
    <row r="584" spans="1:6" ht="17.25" hidden="1" customHeight="1" x14ac:dyDescent="0.2">
      <c r="A584" s="44" t="s">
        <v>1013</v>
      </c>
      <c r="B584" s="221" t="s">
        <v>643</v>
      </c>
      <c r="C584" s="221"/>
      <c r="D584" s="221"/>
      <c r="E584" s="221"/>
    </row>
    <row r="585" spans="1:6" s="43" customFormat="1" ht="57.75" hidden="1" customHeight="1" x14ac:dyDescent="0.2">
      <c r="A585" s="45" t="s">
        <v>1014</v>
      </c>
      <c r="B585" s="214" t="s">
        <v>1015</v>
      </c>
      <c r="C585" s="214"/>
      <c r="D585" s="214"/>
      <c r="E585" s="214"/>
    </row>
    <row r="586" spans="1:6" ht="14.25" hidden="1" customHeight="1" x14ac:dyDescent="0.2">
      <c r="A586" s="215" t="s">
        <v>1016</v>
      </c>
      <c r="B586" s="216"/>
      <c r="C586" s="216"/>
      <c r="D586" s="216"/>
      <c r="E586" s="62">
        <v>0.5</v>
      </c>
    </row>
    <row r="587" spans="1:6" ht="14.25" hidden="1" customHeight="1" x14ac:dyDescent="0.2">
      <c r="A587" s="215" t="s">
        <v>1017</v>
      </c>
      <c r="B587" s="216"/>
      <c r="C587" s="216"/>
      <c r="D587" s="216"/>
      <c r="E587" s="62">
        <v>2</v>
      </c>
    </row>
    <row r="588" spans="1:6" ht="14.25" hidden="1" customHeight="1" x14ac:dyDescent="0.2">
      <c r="A588" s="217" t="s">
        <v>1018</v>
      </c>
      <c r="B588" s="218"/>
      <c r="C588" s="218"/>
      <c r="D588" s="218"/>
      <c r="E588" s="69">
        <v>1</v>
      </c>
    </row>
    <row r="589" spans="1:6" ht="14.25" hidden="1" customHeight="1" x14ac:dyDescent="0.2">
      <c r="A589" s="219" t="s">
        <v>1019</v>
      </c>
      <c r="B589" s="220"/>
      <c r="C589" s="220"/>
      <c r="D589" s="220"/>
      <c r="E589" s="63">
        <f>E586</f>
        <v>0.5</v>
      </c>
    </row>
    <row r="590" spans="1:6" hidden="1" x14ac:dyDescent="0.2">
      <c r="A590" s="60"/>
      <c r="B590" s="91"/>
      <c r="C590" s="91"/>
      <c r="E590" s="61"/>
    </row>
    <row r="591" spans="1:6" hidden="1" x14ac:dyDescent="0.2">
      <c r="A591" s="60"/>
      <c r="B591" s="91"/>
      <c r="C591" s="91"/>
      <c r="E591" s="61"/>
    </row>
    <row r="592" spans="1:6" s="43" customFormat="1" ht="39.75" customHeight="1" x14ac:dyDescent="0.2">
      <c r="A592" s="45" t="s">
        <v>1596</v>
      </c>
      <c r="B592" s="214" t="s">
        <v>577</v>
      </c>
      <c r="C592" s="214"/>
      <c r="D592" s="214"/>
      <c r="E592" s="214"/>
      <c r="F592" s="71" t="s">
        <v>865</v>
      </c>
    </row>
    <row r="593" spans="1:6" ht="14.25" customHeight="1" x14ac:dyDescent="0.2">
      <c r="A593" s="215" t="s">
        <v>1597</v>
      </c>
      <c r="B593" s="216"/>
      <c r="C593" s="216"/>
      <c r="D593" s="216"/>
      <c r="E593" s="62">
        <v>1</v>
      </c>
    </row>
    <row r="594" spans="1:6" ht="14.25" customHeight="1" x14ac:dyDescent="0.2">
      <c r="A594" s="215" t="s">
        <v>1598</v>
      </c>
      <c r="B594" s="216"/>
      <c r="C594" s="216"/>
      <c r="D594" s="216"/>
      <c r="E594" s="62">
        <v>1</v>
      </c>
    </row>
    <row r="595" spans="1:6" ht="14.25" customHeight="1" x14ac:dyDescent="0.2">
      <c r="A595" s="217" t="s">
        <v>1599</v>
      </c>
      <c r="B595" s="218"/>
      <c r="C595" s="218"/>
      <c r="D595" s="218"/>
      <c r="E595" s="69">
        <v>0</v>
      </c>
    </row>
    <row r="596" spans="1:6" ht="14.25" customHeight="1" x14ac:dyDescent="0.2">
      <c r="A596" s="219" t="s">
        <v>1600</v>
      </c>
      <c r="B596" s="220"/>
      <c r="C596" s="220"/>
      <c r="D596" s="220"/>
      <c r="E596" s="63">
        <f>E593</f>
        <v>1</v>
      </c>
    </row>
    <row r="597" spans="1:6" x14ac:dyDescent="0.2">
      <c r="A597" s="79"/>
      <c r="B597" s="80"/>
      <c r="C597" s="80"/>
      <c r="D597" s="46"/>
      <c r="E597" s="81"/>
    </row>
    <row r="598" spans="1:6" ht="17.25" customHeight="1" x14ac:dyDescent="0.2">
      <c r="A598" s="44" t="s">
        <v>1089</v>
      </c>
      <c r="B598" s="221" t="s">
        <v>653</v>
      </c>
      <c r="C598" s="221"/>
      <c r="D598" s="221"/>
      <c r="E598" s="221"/>
    </row>
    <row r="599" spans="1:6" s="43" customFormat="1" ht="22.5" hidden="1" customHeight="1" x14ac:dyDescent="0.2">
      <c r="A599" s="45" t="s">
        <v>1252</v>
      </c>
      <c r="B599" s="214" t="s">
        <v>719</v>
      </c>
      <c r="C599" s="214"/>
      <c r="D599" s="214"/>
      <c r="E599" s="214"/>
      <c r="F599" s="43" t="s">
        <v>865</v>
      </c>
    </row>
    <row r="600" spans="1:6" s="53" customFormat="1" ht="14.25" hidden="1" customHeight="1" x14ac:dyDescent="0.2">
      <c r="A600" s="210" t="s">
        <v>1253</v>
      </c>
      <c r="B600" s="211"/>
      <c r="C600" s="211"/>
      <c r="D600" s="211"/>
      <c r="E600" s="73">
        <v>8380</v>
      </c>
    </row>
    <row r="601" spans="1:6" s="53" customFormat="1" ht="15.75" hidden="1" customHeight="1" x14ac:dyDescent="0.2">
      <c r="A601" s="210" t="s">
        <v>1254</v>
      </c>
      <c r="B601" s="211"/>
      <c r="C601" s="211"/>
      <c r="D601" s="211"/>
      <c r="E601" s="73">
        <v>20950</v>
      </c>
    </row>
    <row r="602" spans="1:6" s="43" customFormat="1" ht="15" hidden="1" customHeight="1" x14ac:dyDescent="0.2">
      <c r="A602" s="210" t="s">
        <v>1255</v>
      </c>
      <c r="B602" s="211"/>
      <c r="C602" s="211"/>
      <c r="D602" s="211"/>
      <c r="E602" s="50">
        <v>0</v>
      </c>
    </row>
    <row r="603" spans="1:6" s="43" customFormat="1" ht="15" hidden="1" customHeight="1" x14ac:dyDescent="0.2">
      <c r="A603" s="212" t="s">
        <v>1256</v>
      </c>
      <c r="B603" s="213"/>
      <c r="C603" s="213"/>
      <c r="D603" s="213"/>
      <c r="E603" s="72">
        <f>E600-E602</f>
        <v>8380</v>
      </c>
    </row>
    <row r="604" spans="1:6" hidden="1" x14ac:dyDescent="0.2">
      <c r="A604" s="79"/>
      <c r="B604" s="80"/>
      <c r="C604" s="80"/>
      <c r="D604" s="46"/>
      <c r="E604" s="81"/>
    </row>
    <row r="605" spans="1:6" s="43" customFormat="1" ht="41.45" customHeight="1" x14ac:dyDescent="0.2">
      <c r="A605" s="45" t="s">
        <v>1097</v>
      </c>
      <c r="B605" s="214" t="s">
        <v>661</v>
      </c>
      <c r="C605" s="214"/>
      <c r="D605" s="214"/>
      <c r="E605" s="214"/>
      <c r="F605" s="71" t="s">
        <v>865</v>
      </c>
    </row>
    <row r="606" spans="1:6" s="53" customFormat="1" ht="14.25" customHeight="1" x14ac:dyDescent="0.2">
      <c r="A606" s="210" t="s">
        <v>1721</v>
      </c>
      <c r="B606" s="211"/>
      <c r="C606" s="211"/>
      <c r="D606" s="211"/>
      <c r="E606" s="73">
        <v>11</v>
      </c>
    </row>
    <row r="607" spans="1:6" s="53" customFormat="1" ht="15.75" customHeight="1" x14ac:dyDescent="0.2">
      <c r="A607" s="210" t="s">
        <v>1722</v>
      </c>
      <c r="B607" s="211"/>
      <c r="C607" s="211"/>
      <c r="D607" s="211"/>
      <c r="E607" s="73">
        <v>11</v>
      </c>
    </row>
    <row r="608" spans="1:6" s="43" customFormat="1" ht="15" customHeight="1" x14ac:dyDescent="0.2">
      <c r="A608" s="210" t="s">
        <v>1723</v>
      </c>
      <c r="B608" s="211"/>
      <c r="C608" s="211"/>
      <c r="D608" s="211"/>
      <c r="E608" s="50">
        <v>7</v>
      </c>
    </row>
    <row r="609" spans="1:6" s="43" customFormat="1" ht="15" customHeight="1" x14ac:dyDescent="0.2">
      <c r="A609" s="212" t="s">
        <v>1724</v>
      </c>
      <c r="B609" s="213"/>
      <c r="C609" s="213"/>
      <c r="D609" s="213"/>
      <c r="E609" s="72">
        <f>E606-E608</f>
        <v>4</v>
      </c>
    </row>
    <row r="610" spans="1:6" x14ac:dyDescent="0.2">
      <c r="A610" s="79"/>
      <c r="B610" s="80"/>
      <c r="C610" s="80"/>
      <c r="D610" s="46"/>
      <c r="E610" s="81"/>
    </row>
    <row r="611" spans="1:6" ht="17.25" customHeight="1" x14ac:dyDescent="0.2">
      <c r="A611" s="44" t="s">
        <v>1155</v>
      </c>
      <c r="B611" s="221" t="s">
        <v>713</v>
      </c>
      <c r="C611" s="221"/>
      <c r="D611" s="221"/>
      <c r="E611" s="221"/>
    </row>
    <row r="612" spans="1:6" s="43" customFormat="1" ht="18.75" customHeight="1" x14ac:dyDescent="0.2">
      <c r="A612" s="68" t="s">
        <v>1156</v>
      </c>
      <c r="B612" s="224" t="s">
        <v>715</v>
      </c>
      <c r="C612" s="224"/>
      <c r="D612" s="224"/>
      <c r="E612" s="224"/>
    </row>
    <row r="613" spans="1:6" s="43" customFormat="1" ht="22.5" hidden="1" customHeight="1" x14ac:dyDescent="0.2">
      <c r="A613" s="45" t="s">
        <v>1252</v>
      </c>
      <c r="B613" s="214" t="s">
        <v>719</v>
      </c>
      <c r="C613" s="214"/>
      <c r="D613" s="214"/>
      <c r="E613" s="214"/>
      <c r="F613" s="43" t="s">
        <v>865</v>
      </c>
    </row>
    <row r="614" spans="1:6" s="53" customFormat="1" ht="14.25" hidden="1" customHeight="1" x14ac:dyDescent="0.2">
      <c r="A614" s="210" t="s">
        <v>1253</v>
      </c>
      <c r="B614" s="211"/>
      <c r="C614" s="211"/>
      <c r="D614" s="211"/>
      <c r="E614" s="73">
        <v>8380</v>
      </c>
    </row>
    <row r="615" spans="1:6" s="53" customFormat="1" ht="15.75" hidden="1" customHeight="1" x14ac:dyDescent="0.2">
      <c r="A615" s="210" t="s">
        <v>1254</v>
      </c>
      <c r="B615" s="211"/>
      <c r="C615" s="211"/>
      <c r="D615" s="211"/>
      <c r="E615" s="73">
        <v>20950</v>
      </c>
    </row>
    <row r="616" spans="1:6" s="43" customFormat="1" ht="15" hidden="1" customHeight="1" x14ac:dyDescent="0.2">
      <c r="A616" s="210" t="s">
        <v>1255</v>
      </c>
      <c r="B616" s="211"/>
      <c r="C616" s="211"/>
      <c r="D616" s="211"/>
      <c r="E616" s="50">
        <v>0</v>
      </c>
    </row>
    <row r="617" spans="1:6" s="43" customFormat="1" ht="15" hidden="1" customHeight="1" x14ac:dyDescent="0.2">
      <c r="A617" s="212" t="s">
        <v>1256</v>
      </c>
      <c r="B617" s="213"/>
      <c r="C617" s="213"/>
      <c r="D617" s="213"/>
      <c r="E617" s="72">
        <f>E614-E616</f>
        <v>8380</v>
      </c>
    </row>
    <row r="618" spans="1:6" hidden="1" x14ac:dyDescent="0.2">
      <c r="A618" s="79"/>
      <c r="B618" s="80"/>
      <c r="C618" s="80"/>
      <c r="D618" s="46"/>
      <c r="E618" s="81"/>
    </row>
    <row r="619" spans="1:6" s="43" customFormat="1" ht="22.5" customHeight="1" x14ac:dyDescent="0.2">
      <c r="A619" s="45" t="s">
        <v>1542</v>
      </c>
      <c r="B619" s="214" t="s">
        <v>726</v>
      </c>
      <c r="C619" s="214"/>
      <c r="D619" s="214"/>
      <c r="E619" s="214"/>
      <c r="F619" s="71" t="s">
        <v>865</v>
      </c>
    </row>
    <row r="620" spans="1:6" s="53" customFormat="1" ht="14.25" customHeight="1" x14ac:dyDescent="0.2">
      <c r="A620" s="210" t="s">
        <v>1159</v>
      </c>
      <c r="B620" s="211"/>
      <c r="C620" s="211"/>
      <c r="D620" s="211"/>
      <c r="E620" s="73">
        <f>'23.0'!E27</f>
        <v>360</v>
      </c>
    </row>
    <row r="621" spans="1:6" s="53" customFormat="1" ht="15.75" customHeight="1" x14ac:dyDescent="0.2">
      <c r="A621" s="210" t="s">
        <v>1160</v>
      </c>
      <c r="B621" s="211"/>
      <c r="C621" s="211"/>
      <c r="D621" s="211"/>
      <c r="E621" s="73">
        <v>360</v>
      </c>
    </row>
    <row r="622" spans="1:6" s="43" customFormat="1" ht="15" customHeight="1" x14ac:dyDescent="0.2">
      <c r="A622" s="210" t="s">
        <v>1544</v>
      </c>
      <c r="B622" s="211"/>
      <c r="C622" s="211"/>
      <c r="D622" s="211"/>
      <c r="E622" s="50">
        <v>0</v>
      </c>
    </row>
    <row r="623" spans="1:6" s="43" customFormat="1" ht="15" customHeight="1" x14ac:dyDescent="0.2">
      <c r="A623" s="212" t="s">
        <v>1545</v>
      </c>
      <c r="B623" s="213"/>
      <c r="C623" s="213"/>
      <c r="D623" s="213"/>
      <c r="E623" s="72">
        <f>E620-E622</f>
        <v>360</v>
      </c>
    </row>
    <row r="624" spans="1:6" x14ac:dyDescent="0.2">
      <c r="A624" s="79"/>
      <c r="B624" s="80"/>
      <c r="C624" s="80"/>
      <c r="D624" s="46"/>
      <c r="E624" s="81"/>
    </row>
    <row r="625" spans="1:6" ht="17.25" hidden="1" customHeight="1" x14ac:dyDescent="0.2">
      <c r="A625" s="44" t="s">
        <v>921</v>
      </c>
      <c r="B625" s="221" t="s">
        <v>729</v>
      </c>
      <c r="C625" s="221"/>
      <c r="D625" s="221"/>
      <c r="E625" s="221"/>
    </row>
    <row r="626" spans="1:6" s="43" customFormat="1" ht="18.75" hidden="1" customHeight="1" x14ac:dyDescent="0.2">
      <c r="A626" s="68" t="s">
        <v>1140</v>
      </c>
      <c r="B626" s="224" t="s">
        <v>731</v>
      </c>
      <c r="C626" s="224"/>
      <c r="D626" s="224"/>
      <c r="E626" s="224"/>
    </row>
    <row r="627" spans="1:6" s="43" customFormat="1" ht="22.5" hidden="1" customHeight="1" x14ac:dyDescent="0.2">
      <c r="A627" s="45" t="s">
        <v>1150</v>
      </c>
      <c r="B627" s="214" t="s">
        <v>733</v>
      </c>
      <c r="C627" s="214"/>
      <c r="D627" s="214"/>
      <c r="E627" s="214"/>
      <c r="F627" s="43" t="s">
        <v>865</v>
      </c>
    </row>
    <row r="628" spans="1:6" s="53" customFormat="1" ht="14.25" hidden="1" customHeight="1" x14ac:dyDescent="0.2">
      <c r="A628" s="210" t="s">
        <v>1151</v>
      </c>
      <c r="B628" s="211"/>
      <c r="C628" s="211"/>
      <c r="D628" s="211"/>
      <c r="E628" s="73" t="e">
        <f>#REF!</f>
        <v>#REF!</v>
      </c>
    </row>
    <row r="629" spans="1:6" s="53" customFormat="1" ht="15.75" hidden="1" customHeight="1" x14ac:dyDescent="0.2">
      <c r="A629" s="210" t="s">
        <v>1152</v>
      </c>
      <c r="B629" s="211"/>
      <c r="C629" s="211"/>
      <c r="D629" s="211"/>
      <c r="E629" s="73" t="e">
        <f>#REF!</f>
        <v>#REF!</v>
      </c>
    </row>
    <row r="630" spans="1:6" s="43" customFormat="1" ht="15" hidden="1" customHeight="1" x14ac:dyDescent="0.2">
      <c r="A630" s="210" t="s">
        <v>1153</v>
      </c>
      <c r="B630" s="211"/>
      <c r="C630" s="211"/>
      <c r="D630" s="211"/>
      <c r="E630" s="50">
        <v>0</v>
      </c>
    </row>
    <row r="631" spans="1:6" s="43" customFormat="1" ht="15" hidden="1" customHeight="1" x14ac:dyDescent="0.2">
      <c r="A631" s="212" t="s">
        <v>1154</v>
      </c>
      <c r="B631" s="213"/>
      <c r="C631" s="213"/>
      <c r="D631" s="213"/>
      <c r="E631" s="72" t="e">
        <f>E628-E630</f>
        <v>#REF!</v>
      </c>
    </row>
    <row r="632" spans="1:6" hidden="1" x14ac:dyDescent="0.2">
      <c r="A632" s="79"/>
      <c r="B632" s="80"/>
      <c r="C632" s="80"/>
      <c r="D632" s="46"/>
      <c r="E632" s="81"/>
    </row>
    <row r="633" spans="1:6" s="43" customFormat="1" ht="18.75" hidden="1" customHeight="1" x14ac:dyDescent="0.2">
      <c r="A633" s="68" t="s">
        <v>1023</v>
      </c>
      <c r="B633" s="224" t="s">
        <v>693</v>
      </c>
      <c r="C633" s="224"/>
      <c r="D633" s="224"/>
      <c r="E633" s="224"/>
    </row>
    <row r="634" spans="1:6" s="43" customFormat="1" ht="33.75" hidden="1" customHeight="1" x14ac:dyDescent="0.2">
      <c r="A634" s="45" t="s">
        <v>1027</v>
      </c>
      <c r="B634" s="214" t="s">
        <v>794</v>
      </c>
      <c r="C634" s="214"/>
      <c r="D634" s="214"/>
      <c r="E634" s="214"/>
      <c r="F634" s="43" t="s">
        <v>865</v>
      </c>
    </row>
    <row r="635" spans="1:6" s="53" customFormat="1" ht="14.25" hidden="1" customHeight="1" x14ac:dyDescent="0.2">
      <c r="A635" s="210" t="s">
        <v>1025</v>
      </c>
      <c r="B635" s="211"/>
      <c r="C635" s="211"/>
      <c r="D635" s="211"/>
      <c r="E635" s="73" t="e">
        <f>#REF!</f>
        <v>#REF!</v>
      </c>
    </row>
    <row r="636" spans="1:6" s="53" customFormat="1" ht="15.75" hidden="1" customHeight="1" x14ac:dyDescent="0.2">
      <c r="A636" s="210" t="s">
        <v>1024</v>
      </c>
      <c r="B636" s="211"/>
      <c r="C636" s="211"/>
      <c r="D636" s="211"/>
      <c r="E636" s="73" t="e">
        <f>#REF!</f>
        <v>#REF!</v>
      </c>
    </row>
    <row r="637" spans="1:6" s="43" customFormat="1" ht="15" hidden="1" customHeight="1" x14ac:dyDescent="0.2">
      <c r="A637" s="210" t="s">
        <v>1141</v>
      </c>
      <c r="B637" s="211"/>
      <c r="C637" s="211"/>
      <c r="D637" s="211"/>
      <c r="E637" s="50">
        <v>1.5</v>
      </c>
    </row>
    <row r="638" spans="1:6" s="43" customFormat="1" ht="15" hidden="1" customHeight="1" x14ac:dyDescent="0.2">
      <c r="A638" s="212" t="s">
        <v>1142</v>
      </c>
      <c r="B638" s="213"/>
      <c r="C638" s="213"/>
      <c r="D638" s="213"/>
      <c r="E638" s="72" t="e">
        <f>E635-E637</f>
        <v>#REF!</v>
      </c>
    </row>
    <row r="639" spans="1:6" hidden="1" x14ac:dyDescent="0.2">
      <c r="A639" s="79"/>
      <c r="B639" s="80"/>
      <c r="C639" s="80"/>
      <c r="D639" s="46"/>
      <c r="E639" s="81"/>
    </row>
    <row r="640" spans="1:6" s="43" customFormat="1" ht="27" hidden="1" customHeight="1" x14ac:dyDescent="0.2">
      <c r="A640" s="45" t="s">
        <v>1026</v>
      </c>
      <c r="B640" s="214" t="s">
        <v>796</v>
      </c>
      <c r="C640" s="214"/>
      <c r="D640" s="214"/>
      <c r="E640" s="214"/>
      <c r="F640" s="43" t="s">
        <v>865</v>
      </c>
    </row>
    <row r="641" spans="1:6" s="53" customFormat="1" ht="14.25" hidden="1" customHeight="1" x14ac:dyDescent="0.2">
      <c r="A641" s="210" t="s">
        <v>1144</v>
      </c>
      <c r="B641" s="211"/>
      <c r="C641" s="211"/>
      <c r="D641" s="211"/>
      <c r="E641" s="73" t="e">
        <f>#REF!</f>
        <v>#REF!</v>
      </c>
    </row>
    <row r="642" spans="1:6" s="53" customFormat="1" ht="14.25" hidden="1" customHeight="1" x14ac:dyDescent="0.2">
      <c r="A642" s="210" t="s">
        <v>1145</v>
      </c>
      <c r="B642" s="211"/>
      <c r="C642" s="211"/>
      <c r="D642" s="211"/>
      <c r="E642" s="73" t="e">
        <f>#REF!</f>
        <v>#REF!</v>
      </c>
    </row>
    <row r="643" spans="1:6" s="43" customFormat="1" ht="13.5" hidden="1" customHeight="1" x14ac:dyDescent="0.2">
      <c r="A643" s="210" t="s">
        <v>1146</v>
      </c>
      <c r="B643" s="211"/>
      <c r="C643" s="211"/>
      <c r="D643" s="211"/>
      <c r="E643" s="50">
        <v>0</v>
      </c>
    </row>
    <row r="644" spans="1:6" s="43" customFormat="1" ht="14.25" hidden="1" customHeight="1" x14ac:dyDescent="0.2">
      <c r="A644" s="212" t="s">
        <v>1147</v>
      </c>
      <c r="B644" s="213"/>
      <c r="C644" s="213"/>
      <c r="D644" s="213"/>
      <c r="E644" s="72" t="e">
        <f>E641</f>
        <v>#REF!</v>
      </c>
    </row>
    <row r="645" spans="1:6" hidden="1" x14ac:dyDescent="0.2">
      <c r="A645" s="60"/>
      <c r="B645" s="91"/>
      <c r="C645" s="91"/>
      <c r="E645" s="61"/>
    </row>
    <row r="646" spans="1:6" s="43" customFormat="1" ht="26.25" hidden="1" customHeight="1" x14ac:dyDescent="0.2">
      <c r="A646" s="45" t="s">
        <v>1029</v>
      </c>
      <c r="B646" s="214" t="s">
        <v>1028</v>
      </c>
      <c r="C646" s="214"/>
      <c r="D646" s="214"/>
      <c r="E646" s="214"/>
      <c r="F646" s="43" t="s">
        <v>865</v>
      </c>
    </row>
    <row r="647" spans="1:6" s="53" customFormat="1" ht="14.25" hidden="1" customHeight="1" x14ac:dyDescent="0.2">
      <c r="A647" s="210" t="s">
        <v>1030</v>
      </c>
      <c r="B647" s="211"/>
      <c r="C647" s="211"/>
      <c r="D647" s="211"/>
      <c r="E647" s="73" t="e">
        <f>#REF!</f>
        <v>#REF!</v>
      </c>
    </row>
    <row r="648" spans="1:6" s="53" customFormat="1" ht="15.75" hidden="1" customHeight="1" x14ac:dyDescent="0.2">
      <c r="A648" s="210" t="s">
        <v>1031</v>
      </c>
      <c r="B648" s="211"/>
      <c r="C648" s="211"/>
      <c r="D648" s="211"/>
      <c r="E648" s="73">
        <f>Planilha!D422</f>
        <v>89.46</v>
      </c>
    </row>
    <row r="649" spans="1:6" s="43" customFormat="1" ht="15" hidden="1" customHeight="1" x14ac:dyDescent="0.2">
      <c r="A649" s="210" t="s">
        <v>1149</v>
      </c>
      <c r="B649" s="211"/>
      <c r="C649" s="211"/>
      <c r="D649" s="211"/>
      <c r="E649" s="50" t="e">
        <f>#REF!</f>
        <v>#REF!</v>
      </c>
    </row>
    <row r="650" spans="1:6" s="43" customFormat="1" ht="15" hidden="1" customHeight="1" x14ac:dyDescent="0.2">
      <c r="A650" s="212" t="s">
        <v>1142</v>
      </c>
      <c r="B650" s="213"/>
      <c r="C650" s="213"/>
      <c r="D650" s="213"/>
      <c r="E650" s="72" t="e">
        <f>E648-E649</f>
        <v>#REF!</v>
      </c>
    </row>
    <row r="651" spans="1:6" ht="15" hidden="1" customHeight="1" x14ac:dyDescent="0.2">
      <c r="A651" s="251" t="s">
        <v>1148</v>
      </c>
      <c r="B651" s="252"/>
      <c r="C651" s="252"/>
      <c r="D651" s="252"/>
      <c r="E651" s="124" t="e">
        <f>E648-E647</f>
        <v>#REF!</v>
      </c>
    </row>
    <row r="652" spans="1:6" hidden="1" x14ac:dyDescent="0.2"/>
  </sheetData>
  <mergeCells count="545">
    <mergeCell ref="A328:D328"/>
    <mergeCell ref="A329:D329"/>
    <mergeCell ref="A330:D330"/>
    <mergeCell ref="B428:E428"/>
    <mergeCell ref="A429:D429"/>
    <mergeCell ref="A430:D430"/>
    <mergeCell ref="A431:D431"/>
    <mergeCell ref="A432:D432"/>
    <mergeCell ref="A433:D433"/>
    <mergeCell ref="A416:D416"/>
    <mergeCell ref="A417:D417"/>
    <mergeCell ref="A418:D418"/>
    <mergeCell ref="B421:E421"/>
    <mergeCell ref="B408:E408"/>
    <mergeCell ref="A409:D409"/>
    <mergeCell ref="A410:D410"/>
    <mergeCell ref="A411:D411"/>
    <mergeCell ref="A412:D412"/>
    <mergeCell ref="A424:D424"/>
    <mergeCell ref="A396:D396"/>
    <mergeCell ref="A397:D397"/>
    <mergeCell ref="A398:D398"/>
    <mergeCell ref="B400:E400"/>
    <mergeCell ref="B401:E401"/>
    <mergeCell ref="B223:E223"/>
    <mergeCell ref="B224:E224"/>
    <mergeCell ref="A225:D225"/>
    <mergeCell ref="A226:D226"/>
    <mergeCell ref="A227:D227"/>
    <mergeCell ref="A228:D228"/>
    <mergeCell ref="B222:E222"/>
    <mergeCell ref="B326:E326"/>
    <mergeCell ref="A327:D327"/>
    <mergeCell ref="A235:D235"/>
    <mergeCell ref="B281:E281"/>
    <mergeCell ref="B288:E288"/>
    <mergeCell ref="A289:D289"/>
    <mergeCell ref="A270:D270"/>
    <mergeCell ref="B266:E266"/>
    <mergeCell ref="A262:D262"/>
    <mergeCell ref="A263:D263"/>
    <mergeCell ref="B259:E259"/>
    <mergeCell ref="A260:D260"/>
    <mergeCell ref="A261:D261"/>
    <mergeCell ref="A244:D244"/>
    <mergeCell ref="B258:E258"/>
    <mergeCell ref="B246:E246"/>
    <mergeCell ref="A298:D298"/>
    <mergeCell ref="A651:D651"/>
    <mergeCell ref="B626:E626"/>
    <mergeCell ref="B627:E627"/>
    <mergeCell ref="A628:D628"/>
    <mergeCell ref="A629:D629"/>
    <mergeCell ref="A630:D630"/>
    <mergeCell ref="A631:D631"/>
    <mergeCell ref="B611:E611"/>
    <mergeCell ref="B612:E612"/>
    <mergeCell ref="B619:E619"/>
    <mergeCell ref="A620:D620"/>
    <mergeCell ref="A621:D621"/>
    <mergeCell ref="A622:D622"/>
    <mergeCell ref="A623:D623"/>
    <mergeCell ref="B646:E646"/>
    <mergeCell ref="A647:D647"/>
    <mergeCell ref="A648:D648"/>
    <mergeCell ref="A649:D649"/>
    <mergeCell ref="A650:D650"/>
    <mergeCell ref="A637:D637"/>
    <mergeCell ref="A638:D638"/>
    <mergeCell ref="B633:E633"/>
    <mergeCell ref="A641:D641"/>
    <mergeCell ref="A642:D642"/>
    <mergeCell ref="B555:E555"/>
    <mergeCell ref="A556:D556"/>
    <mergeCell ref="A617:D617"/>
    <mergeCell ref="B576:E576"/>
    <mergeCell ref="B577:E577"/>
    <mergeCell ref="A578:D578"/>
    <mergeCell ref="A579:D579"/>
    <mergeCell ref="A580:D580"/>
    <mergeCell ref="A581:D581"/>
    <mergeCell ref="A582:D582"/>
    <mergeCell ref="B584:E584"/>
    <mergeCell ref="B585:E585"/>
    <mergeCell ref="A586:D586"/>
    <mergeCell ref="A587:D587"/>
    <mergeCell ref="A588:D588"/>
    <mergeCell ref="A589:D589"/>
    <mergeCell ref="A571:D571"/>
    <mergeCell ref="A572:D572"/>
    <mergeCell ref="A573:D573"/>
    <mergeCell ref="A539:D539"/>
    <mergeCell ref="A540:D540"/>
    <mergeCell ref="B542:E542"/>
    <mergeCell ref="A503:D503"/>
    <mergeCell ref="A504:D504"/>
    <mergeCell ref="A505:D505"/>
    <mergeCell ref="B507:E507"/>
    <mergeCell ref="A508:D508"/>
    <mergeCell ref="A509:D509"/>
    <mergeCell ref="A510:D510"/>
    <mergeCell ref="A511:D511"/>
    <mergeCell ref="A512:D512"/>
    <mergeCell ref="B536:E536"/>
    <mergeCell ref="A537:D537"/>
    <mergeCell ref="A538:D538"/>
    <mergeCell ref="A525:D525"/>
    <mergeCell ref="A526:D526"/>
    <mergeCell ref="A516:D516"/>
    <mergeCell ref="A517:D517"/>
    <mergeCell ref="A518:D518"/>
    <mergeCell ref="B528:E528"/>
    <mergeCell ref="B529:E529"/>
    <mergeCell ref="A530:D530"/>
    <mergeCell ref="B521:E521"/>
    <mergeCell ref="A531:D531"/>
    <mergeCell ref="A532:D532"/>
    <mergeCell ref="A533:D533"/>
    <mergeCell ref="B441:E441"/>
    <mergeCell ref="A551:D551"/>
    <mergeCell ref="A552:D552"/>
    <mergeCell ref="A553:D553"/>
    <mergeCell ref="A290:D290"/>
    <mergeCell ref="A291:D291"/>
    <mergeCell ref="A292:D292"/>
    <mergeCell ref="B357:E357"/>
    <mergeCell ref="A358:D358"/>
    <mergeCell ref="A359:D359"/>
    <mergeCell ref="A360:D360"/>
    <mergeCell ref="A361:D361"/>
    <mergeCell ref="B338:E338"/>
    <mergeCell ref="B313:E313"/>
    <mergeCell ref="A314:D314"/>
    <mergeCell ref="A315:D315"/>
    <mergeCell ref="A303:D303"/>
    <mergeCell ref="A304:D304"/>
    <mergeCell ref="B494:E494"/>
    <mergeCell ref="A523:D523"/>
    <mergeCell ref="A485:D485"/>
    <mergeCell ref="A144:D144"/>
    <mergeCell ref="A145:D145"/>
    <mergeCell ref="A146:D146"/>
    <mergeCell ref="A147:D147"/>
    <mergeCell ref="B232:E232"/>
    <mergeCell ref="B420:E420"/>
    <mergeCell ref="A191:D191"/>
    <mergeCell ref="A192:D192"/>
    <mergeCell ref="A194:D194"/>
    <mergeCell ref="A170:D170"/>
    <mergeCell ref="A175:D175"/>
    <mergeCell ref="A181:D181"/>
    <mergeCell ref="A193:D193"/>
    <mergeCell ref="A187:D187"/>
    <mergeCell ref="B184:E184"/>
    <mergeCell ref="A185:D185"/>
    <mergeCell ref="A186:D186"/>
    <mergeCell ref="A316:D316"/>
    <mergeCell ref="A317:D317"/>
    <mergeCell ref="B414:E414"/>
    <mergeCell ref="A415:D415"/>
    <mergeCell ref="A296:D296"/>
    <mergeCell ref="A297:D297"/>
    <mergeCell ref="B166:E166"/>
    <mergeCell ref="A122:D122"/>
    <mergeCell ref="A114:D114"/>
    <mergeCell ref="A120:D120"/>
    <mergeCell ref="A121:D121"/>
    <mergeCell ref="B117:E117"/>
    <mergeCell ref="A118:D118"/>
    <mergeCell ref="A119:D119"/>
    <mergeCell ref="B294:E294"/>
    <mergeCell ref="A115:D115"/>
    <mergeCell ref="B151:E151"/>
    <mergeCell ref="A152:D152"/>
    <mergeCell ref="A153:D153"/>
    <mergeCell ref="A135:D135"/>
    <mergeCell ref="A233:D233"/>
    <mergeCell ref="A247:D247"/>
    <mergeCell ref="A168:D168"/>
    <mergeCell ref="A198:D198"/>
    <mergeCell ref="A199:D199"/>
    <mergeCell ref="A200:D200"/>
    <mergeCell ref="A201:D201"/>
    <mergeCell ref="B273:E273"/>
    <mergeCell ref="B274:E274"/>
    <mergeCell ref="A268:D268"/>
    <mergeCell ref="A269:D269"/>
    <mergeCell ref="B520:E520"/>
    <mergeCell ref="A498:D498"/>
    <mergeCell ref="A499:D499"/>
    <mergeCell ref="B501:E501"/>
    <mergeCell ref="A502:D502"/>
    <mergeCell ref="A475:D475"/>
    <mergeCell ref="A476:D476"/>
    <mergeCell ref="A477:D477"/>
    <mergeCell ref="A478:D478"/>
    <mergeCell ref="B488:E488"/>
    <mergeCell ref="A489:D489"/>
    <mergeCell ref="A492:D492"/>
    <mergeCell ref="B487:E487"/>
    <mergeCell ref="B514:E514"/>
    <mergeCell ref="A515:D515"/>
    <mergeCell ref="B474:E474"/>
    <mergeCell ref="A482:D482"/>
    <mergeCell ref="A483:D483"/>
    <mergeCell ref="A484:D484"/>
    <mergeCell ref="A469:D469"/>
    <mergeCell ref="A442:D442"/>
    <mergeCell ref="A443:D443"/>
    <mergeCell ref="A444:D444"/>
    <mergeCell ref="B480:E480"/>
    <mergeCell ref="B481:E481"/>
    <mergeCell ref="A471:D471"/>
    <mergeCell ref="B468:E468"/>
    <mergeCell ref="B447:E447"/>
    <mergeCell ref="A448:D448"/>
    <mergeCell ref="A449:D449"/>
    <mergeCell ref="A450:D450"/>
    <mergeCell ref="A451:D451"/>
    <mergeCell ref="A11:E11"/>
    <mergeCell ref="B13:E13"/>
    <mergeCell ref="B14:E14"/>
    <mergeCell ref="A15:D15"/>
    <mergeCell ref="A16:D16"/>
    <mergeCell ref="A17:D17"/>
    <mergeCell ref="A18:D18"/>
    <mergeCell ref="A241:D241"/>
    <mergeCell ref="A242:D242"/>
    <mergeCell ref="B239:E239"/>
    <mergeCell ref="A234:D234"/>
    <mergeCell ref="B230:E230"/>
    <mergeCell ref="B130:E130"/>
    <mergeCell ref="B131:E131"/>
    <mergeCell ref="A132:D132"/>
    <mergeCell ref="A236:D236"/>
    <mergeCell ref="A240:D240"/>
    <mergeCell ref="B231:E231"/>
    <mergeCell ref="A80:D80"/>
    <mergeCell ref="A133:D133"/>
    <mergeCell ref="A237:D237"/>
    <mergeCell ref="A87:D87"/>
    <mergeCell ref="A86:D86"/>
    <mergeCell ref="A93:D93"/>
    <mergeCell ref="A70:D70"/>
    <mergeCell ref="A71:D71"/>
    <mergeCell ref="A643:D643"/>
    <mergeCell ref="A644:D644"/>
    <mergeCell ref="B280:E280"/>
    <mergeCell ref="B282:E282"/>
    <mergeCell ref="A283:D283"/>
    <mergeCell ref="A284:D284"/>
    <mergeCell ref="A285:D285"/>
    <mergeCell ref="A286:D286"/>
    <mergeCell ref="A635:D635"/>
    <mergeCell ref="A636:D636"/>
    <mergeCell ref="B640:E640"/>
    <mergeCell ref="B634:E634"/>
    <mergeCell ref="B625:E625"/>
    <mergeCell ref="B422:E422"/>
    <mergeCell ref="A423:D423"/>
    <mergeCell ref="A425:D425"/>
    <mergeCell ref="A439:D439"/>
    <mergeCell ref="B434:E434"/>
    <mergeCell ref="A524:D524"/>
    <mergeCell ref="A426:D426"/>
    <mergeCell ref="B549:E549"/>
    <mergeCell ref="B550:E550"/>
    <mergeCell ref="A79:D79"/>
    <mergeCell ref="A78:B78"/>
    <mergeCell ref="A91:D91"/>
    <mergeCell ref="A92:D92"/>
    <mergeCell ref="A108:D108"/>
    <mergeCell ref="B110:E110"/>
    <mergeCell ref="A111:D111"/>
    <mergeCell ref="B96:E96"/>
    <mergeCell ref="A97:D97"/>
    <mergeCell ref="A98:D98"/>
    <mergeCell ref="A104:D104"/>
    <mergeCell ref="A105:D105"/>
    <mergeCell ref="A94:D94"/>
    <mergeCell ref="A107:D107"/>
    <mergeCell ref="A101:D101"/>
    <mergeCell ref="B103:E103"/>
    <mergeCell ref="B75:E75"/>
    <mergeCell ref="A85:D85"/>
    <mergeCell ref="A88:D88"/>
    <mergeCell ref="B20:E20"/>
    <mergeCell ref="B21:E21"/>
    <mergeCell ref="B22:E22"/>
    <mergeCell ref="B23:E23"/>
    <mergeCell ref="A24:D24"/>
    <mergeCell ref="A25:D25"/>
    <mergeCell ref="A26:D26"/>
    <mergeCell ref="A27:D27"/>
    <mergeCell ref="B30:E30"/>
    <mergeCell ref="A31:D31"/>
    <mergeCell ref="A32:D32"/>
    <mergeCell ref="A33:D33"/>
    <mergeCell ref="A34:D34"/>
    <mergeCell ref="B37:E37"/>
    <mergeCell ref="B38:E38"/>
    <mergeCell ref="A46:D46"/>
    <mergeCell ref="A47:D47"/>
    <mergeCell ref="A66:D66"/>
    <mergeCell ref="A67:D67"/>
    <mergeCell ref="B69:E69"/>
    <mergeCell ref="A45:D45"/>
    <mergeCell ref="A302:D302"/>
    <mergeCell ref="A470:D470"/>
    <mergeCell ref="A495:D495"/>
    <mergeCell ref="A496:D496"/>
    <mergeCell ref="A497:D497"/>
    <mergeCell ref="B467:E467"/>
    <mergeCell ref="B320:E320"/>
    <mergeCell ref="A321:D321"/>
    <mergeCell ref="A322:D322"/>
    <mergeCell ref="A323:D323"/>
    <mergeCell ref="A324:D324"/>
    <mergeCell ref="A427:D427"/>
    <mergeCell ref="B453:E453"/>
    <mergeCell ref="A305:D305"/>
    <mergeCell ref="A352:D352"/>
    <mergeCell ref="B369:E369"/>
    <mergeCell ref="A370:D370"/>
    <mergeCell ref="A371:D371"/>
    <mergeCell ref="A372:D372"/>
    <mergeCell ref="A373:D373"/>
    <mergeCell ref="B407:E407"/>
    <mergeCell ref="B393:E393"/>
    <mergeCell ref="B394:E394"/>
    <mergeCell ref="A395:D395"/>
    <mergeCell ref="B301:E301"/>
    <mergeCell ref="A445:D445"/>
    <mergeCell ref="B435:E435"/>
    <mergeCell ref="A436:D436"/>
    <mergeCell ref="A437:D437"/>
    <mergeCell ref="A438:D438"/>
    <mergeCell ref="A522:D522"/>
    <mergeCell ref="B319:E319"/>
    <mergeCell ref="B332:E332"/>
    <mergeCell ref="A333:D333"/>
    <mergeCell ref="A334:D334"/>
    <mergeCell ref="A335:D335"/>
    <mergeCell ref="A336:D336"/>
    <mergeCell ref="B339:E339"/>
    <mergeCell ref="A340:D340"/>
    <mergeCell ref="A341:D341"/>
    <mergeCell ref="A342:D342"/>
    <mergeCell ref="A343:D343"/>
    <mergeCell ref="B345:E345"/>
    <mergeCell ref="A346:D346"/>
    <mergeCell ref="A347:D347"/>
    <mergeCell ref="A348:D348"/>
    <mergeCell ref="A349:D349"/>
    <mergeCell ref="B351:E351"/>
    <mergeCell ref="A402:D402"/>
    <mergeCell ref="A403:D403"/>
    <mergeCell ref="A404:D404"/>
    <mergeCell ref="A405:D405"/>
    <mergeCell ref="B375:E375"/>
    <mergeCell ref="A376:D376"/>
    <mergeCell ref="A377:D377"/>
    <mergeCell ref="A378:D378"/>
    <mergeCell ref="B543:E543"/>
    <mergeCell ref="A390:D390"/>
    <mergeCell ref="A391:D391"/>
    <mergeCell ref="A379:D379"/>
    <mergeCell ref="B381:E381"/>
    <mergeCell ref="A382:D382"/>
    <mergeCell ref="A383:D383"/>
    <mergeCell ref="A384:D384"/>
    <mergeCell ref="A385:D385"/>
    <mergeCell ref="B387:E387"/>
    <mergeCell ref="A388:D388"/>
    <mergeCell ref="A389:D389"/>
    <mergeCell ref="B454:E454"/>
    <mergeCell ref="A490:D490"/>
    <mergeCell ref="A491:D491"/>
    <mergeCell ref="A472:D472"/>
    <mergeCell ref="A547:D547"/>
    <mergeCell ref="A545:D545"/>
    <mergeCell ref="B613:E613"/>
    <mergeCell ref="A614:D614"/>
    <mergeCell ref="A615:D615"/>
    <mergeCell ref="A616:D616"/>
    <mergeCell ref="B560:E560"/>
    <mergeCell ref="A561:D561"/>
    <mergeCell ref="A562:D562"/>
    <mergeCell ref="A563:D563"/>
    <mergeCell ref="B565:E565"/>
    <mergeCell ref="A566:D566"/>
    <mergeCell ref="A567:D567"/>
    <mergeCell ref="A568:D568"/>
    <mergeCell ref="A558:D558"/>
    <mergeCell ref="A557:D557"/>
    <mergeCell ref="B592:E592"/>
    <mergeCell ref="A593:D593"/>
    <mergeCell ref="A594:D594"/>
    <mergeCell ref="A595:D595"/>
    <mergeCell ref="A596:D596"/>
    <mergeCell ref="B570:E570"/>
    <mergeCell ref="A72:D72"/>
    <mergeCell ref="A73:D73"/>
    <mergeCell ref="A28:D28"/>
    <mergeCell ref="A35:D35"/>
    <mergeCell ref="B50:E50"/>
    <mergeCell ref="A51:D51"/>
    <mergeCell ref="A52:D52"/>
    <mergeCell ref="A53:D53"/>
    <mergeCell ref="A54:D54"/>
    <mergeCell ref="A55:D55"/>
    <mergeCell ref="B63:E63"/>
    <mergeCell ref="A64:D64"/>
    <mergeCell ref="A65:D65"/>
    <mergeCell ref="A39:D39"/>
    <mergeCell ref="A40:D40"/>
    <mergeCell ref="A41:D41"/>
    <mergeCell ref="A42:D42"/>
    <mergeCell ref="B44:E44"/>
    <mergeCell ref="A48:D48"/>
    <mergeCell ref="B57:E57"/>
    <mergeCell ref="A58:D58"/>
    <mergeCell ref="A59:D59"/>
    <mergeCell ref="A60:D60"/>
    <mergeCell ref="A61:D61"/>
    <mergeCell ref="A77:D77"/>
    <mergeCell ref="B76:E76"/>
    <mergeCell ref="A148:D148"/>
    <mergeCell ref="A264:D264"/>
    <mergeCell ref="A271:D271"/>
    <mergeCell ref="A128:D128"/>
    <mergeCell ref="A127:D127"/>
    <mergeCell ref="A126:D126"/>
    <mergeCell ref="A125:D125"/>
    <mergeCell ref="B124:E124"/>
    <mergeCell ref="A106:D106"/>
    <mergeCell ref="A100:D100"/>
    <mergeCell ref="A99:D99"/>
    <mergeCell ref="B83:E83"/>
    <mergeCell ref="A154:D154"/>
    <mergeCell ref="A155:D155"/>
    <mergeCell ref="B157:E157"/>
    <mergeCell ref="A158:D158"/>
    <mergeCell ref="A159:D159"/>
    <mergeCell ref="A160:D160"/>
    <mergeCell ref="A161:D161"/>
    <mergeCell ref="B196:E196"/>
    <mergeCell ref="B137:E137"/>
    <mergeCell ref="A138:D138"/>
    <mergeCell ref="A82:B82"/>
    <mergeCell ref="A81:D81"/>
    <mergeCell ref="B197:E197"/>
    <mergeCell ref="A188:D188"/>
    <mergeCell ref="B190:E190"/>
    <mergeCell ref="A169:D169"/>
    <mergeCell ref="B172:E172"/>
    <mergeCell ref="A173:D173"/>
    <mergeCell ref="A174:D174"/>
    <mergeCell ref="A176:D176"/>
    <mergeCell ref="B178:E178"/>
    <mergeCell ref="A179:D179"/>
    <mergeCell ref="A180:D180"/>
    <mergeCell ref="A182:D182"/>
    <mergeCell ref="B163:E163"/>
    <mergeCell ref="B165:E165"/>
    <mergeCell ref="B90:E90"/>
    <mergeCell ref="A84:D84"/>
    <mergeCell ref="B143:E143"/>
    <mergeCell ref="A134:D134"/>
    <mergeCell ref="A113:D113"/>
    <mergeCell ref="A112:D112"/>
    <mergeCell ref="B150:E150"/>
    <mergeCell ref="A139:D139"/>
    <mergeCell ref="A140:D140"/>
    <mergeCell ref="A141:D141"/>
    <mergeCell ref="B203:E203"/>
    <mergeCell ref="A204:D204"/>
    <mergeCell ref="A205:D205"/>
    <mergeCell ref="A206:D206"/>
    <mergeCell ref="A207:D207"/>
    <mergeCell ref="B252:E252"/>
    <mergeCell ref="A248:D248"/>
    <mergeCell ref="A243:D243"/>
    <mergeCell ref="A249:D249"/>
    <mergeCell ref="A250:D250"/>
    <mergeCell ref="B209:E209"/>
    <mergeCell ref="B210:E210"/>
    <mergeCell ref="A211:D211"/>
    <mergeCell ref="A212:D212"/>
    <mergeCell ref="A213:D213"/>
    <mergeCell ref="A214:D214"/>
    <mergeCell ref="B216:E216"/>
    <mergeCell ref="A217:D217"/>
    <mergeCell ref="A218:D218"/>
    <mergeCell ref="A219:D219"/>
    <mergeCell ref="A220:D220"/>
    <mergeCell ref="A167:D167"/>
    <mergeCell ref="A253:D253"/>
    <mergeCell ref="A254:D254"/>
    <mergeCell ref="A255:D255"/>
    <mergeCell ref="A256:D256"/>
    <mergeCell ref="B363:E363"/>
    <mergeCell ref="A364:D364"/>
    <mergeCell ref="A365:D365"/>
    <mergeCell ref="A366:D366"/>
    <mergeCell ref="A367:D367"/>
    <mergeCell ref="A295:D295"/>
    <mergeCell ref="B300:E300"/>
    <mergeCell ref="B307:E307"/>
    <mergeCell ref="A308:D308"/>
    <mergeCell ref="A309:D309"/>
    <mergeCell ref="A310:D310"/>
    <mergeCell ref="A311:D311"/>
    <mergeCell ref="A353:D353"/>
    <mergeCell ref="A354:D354"/>
    <mergeCell ref="A355:D355"/>
    <mergeCell ref="A275:D275"/>
    <mergeCell ref="A276:D276"/>
    <mergeCell ref="A277:D277"/>
    <mergeCell ref="A278:D278"/>
    <mergeCell ref="A267:D267"/>
    <mergeCell ref="A606:D606"/>
    <mergeCell ref="A607:D607"/>
    <mergeCell ref="A608:D608"/>
    <mergeCell ref="A609:D609"/>
    <mergeCell ref="B455:E455"/>
    <mergeCell ref="A456:D456"/>
    <mergeCell ref="A457:D457"/>
    <mergeCell ref="A458:D458"/>
    <mergeCell ref="A459:D459"/>
    <mergeCell ref="B461:E461"/>
    <mergeCell ref="A462:D462"/>
    <mergeCell ref="A463:D463"/>
    <mergeCell ref="A464:D464"/>
    <mergeCell ref="A465:D465"/>
    <mergeCell ref="A574:D574"/>
    <mergeCell ref="B598:E598"/>
    <mergeCell ref="B599:E599"/>
    <mergeCell ref="A600:D600"/>
    <mergeCell ref="A601:D601"/>
    <mergeCell ref="A602:D602"/>
    <mergeCell ref="A603:D603"/>
    <mergeCell ref="B605:E605"/>
    <mergeCell ref="A544:D544"/>
    <mergeCell ref="A546:D546"/>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C27EA-66D2-4050-B65A-456AD1CC1A36}">
  <sheetPr>
    <tabColor theme="4"/>
  </sheetPr>
  <dimension ref="A1:F145"/>
  <sheetViews>
    <sheetView view="pageBreakPreview" topLeftCell="A133" zoomScale="90" zoomScaleNormal="95" zoomScaleSheetLayoutView="90" workbookViewId="0">
      <selection activeCell="G94" sqref="G94"/>
    </sheetView>
  </sheetViews>
  <sheetFormatPr defaultColWidth="9" defaultRowHeight="12.75" x14ac:dyDescent="0.2"/>
  <cols>
    <col min="1" max="1" width="17.125" style="35" customWidth="1"/>
    <col min="2" max="2" width="15.625" style="35" customWidth="1"/>
    <col min="3" max="3" width="15.875" style="35" customWidth="1"/>
    <col min="4" max="4" width="18.125" style="35" customWidth="1"/>
    <col min="5" max="5" width="21.25" style="42" customWidth="1"/>
    <col min="6" max="16384" width="9" style="33"/>
  </cols>
  <sheetData>
    <row r="1" spans="1:6" x14ac:dyDescent="0.2">
      <c r="A1" s="34"/>
      <c r="E1" s="36"/>
    </row>
    <row r="2" spans="1:6" x14ac:dyDescent="0.2">
      <c r="A2" s="38"/>
      <c r="B2" s="38"/>
      <c r="C2" s="39"/>
      <c r="D2" s="39"/>
      <c r="E2" s="58"/>
    </row>
    <row r="3" spans="1:6" x14ac:dyDescent="0.2">
      <c r="A3" s="38" t="s">
        <v>820</v>
      </c>
      <c r="B3" s="38"/>
      <c r="C3" s="39"/>
      <c r="D3" s="39"/>
      <c r="E3" s="58"/>
    </row>
    <row r="4" spans="1:6" x14ac:dyDescent="0.2">
      <c r="A4" s="38" t="s">
        <v>2</v>
      </c>
      <c r="B4" s="38"/>
      <c r="C4" s="39"/>
      <c r="D4" s="39"/>
      <c r="E4" s="58"/>
    </row>
    <row r="5" spans="1:6" x14ac:dyDescent="0.2">
      <c r="A5" s="38" t="s">
        <v>8</v>
      </c>
      <c r="B5" s="38"/>
      <c r="C5" s="39"/>
      <c r="D5" s="39"/>
      <c r="E5" s="58"/>
    </row>
    <row r="6" spans="1:6" x14ac:dyDescent="0.2">
      <c r="A6" s="37" t="s">
        <v>1313</v>
      </c>
      <c r="B6" s="38"/>
      <c r="C6" s="39"/>
      <c r="D6" s="39"/>
      <c r="E6" s="58"/>
    </row>
    <row r="7" spans="1:6" ht="13.5" thickBot="1" x14ac:dyDescent="0.25">
      <c r="A7" s="38"/>
      <c r="B7" s="38"/>
      <c r="C7" s="39"/>
      <c r="D7" s="39"/>
      <c r="E7" s="58"/>
    </row>
    <row r="8" spans="1:6" s="43" customFormat="1" ht="21" customHeight="1" thickBot="1" x14ac:dyDescent="0.25">
      <c r="A8" s="248" t="s">
        <v>1314</v>
      </c>
      <c r="B8" s="249"/>
      <c r="C8" s="249"/>
      <c r="D8" s="249"/>
      <c r="E8" s="249"/>
    </row>
    <row r="9" spans="1:6" x14ac:dyDescent="0.2">
      <c r="A9" s="34"/>
      <c r="E9" s="36"/>
    </row>
    <row r="10" spans="1:6" ht="17.25" customHeight="1" x14ac:dyDescent="0.2">
      <c r="A10" s="44" t="s">
        <v>1006</v>
      </c>
      <c r="B10" s="243" t="s">
        <v>1315</v>
      </c>
      <c r="C10" s="244"/>
      <c r="D10" s="244"/>
      <c r="E10" s="245"/>
    </row>
    <row r="11" spans="1:6" s="43" customFormat="1" ht="19.5" customHeight="1" x14ac:dyDescent="0.2">
      <c r="A11" s="45" t="s">
        <v>1007</v>
      </c>
      <c r="B11" s="214" t="s">
        <v>83</v>
      </c>
      <c r="C11" s="214"/>
      <c r="D11" s="214"/>
      <c r="E11" s="214"/>
    </row>
    <row r="12" spans="1:6" s="43" customFormat="1" ht="19.5" customHeight="1" x14ac:dyDescent="0.2">
      <c r="A12" s="45" t="s">
        <v>1316</v>
      </c>
      <c r="B12" s="214" t="s">
        <v>85</v>
      </c>
      <c r="C12" s="214"/>
      <c r="D12" s="214"/>
      <c r="E12" s="214"/>
    </row>
    <row r="13" spans="1:6" s="43" customFormat="1" ht="24" customHeight="1" x14ac:dyDescent="0.2">
      <c r="A13" s="45" t="s">
        <v>831</v>
      </c>
      <c r="B13" s="214" t="s">
        <v>710</v>
      </c>
      <c r="C13" s="214"/>
      <c r="D13" s="214"/>
      <c r="E13" s="214"/>
      <c r="F13" s="43" t="s">
        <v>865</v>
      </c>
    </row>
    <row r="14" spans="1:6" s="47" customFormat="1" ht="14.25" customHeight="1" x14ac:dyDescent="0.2">
      <c r="A14" s="253" t="s">
        <v>821</v>
      </c>
      <c r="B14" s="254"/>
      <c r="C14" s="49"/>
      <c r="D14" s="49"/>
      <c r="E14" s="121" t="s">
        <v>1317</v>
      </c>
    </row>
    <row r="15" spans="1:6" ht="14.25" customHeight="1" x14ac:dyDescent="0.2">
      <c r="A15" s="122" t="s">
        <v>1318</v>
      </c>
      <c r="B15" s="150"/>
      <c r="C15" s="95"/>
      <c r="D15" s="95"/>
      <c r="E15" s="121">
        <v>444.59</v>
      </c>
    </row>
    <row r="16" spans="1:6" ht="14.25" customHeight="1" x14ac:dyDescent="0.2">
      <c r="A16" s="122" t="s">
        <v>1319</v>
      </c>
      <c r="B16" s="150"/>
      <c r="C16" s="95"/>
      <c r="D16" s="95"/>
      <c r="E16" s="121">
        <v>216.76</v>
      </c>
    </row>
    <row r="17" spans="1:6" ht="14.25" customHeight="1" x14ac:dyDescent="0.2">
      <c r="A17" s="122" t="s">
        <v>1320</v>
      </c>
      <c r="B17" s="150"/>
      <c r="C17" s="95"/>
      <c r="D17" s="95"/>
      <c r="E17" s="121">
        <f>(61*0.4*1)+7.32</f>
        <v>31.720000000000002</v>
      </c>
    </row>
    <row r="18" spans="1:6" ht="14.25" customHeight="1" x14ac:dyDescent="0.2">
      <c r="A18" s="122" t="s">
        <v>1321</v>
      </c>
      <c r="B18" s="150"/>
      <c r="C18" s="95"/>
      <c r="D18" s="95"/>
      <c r="E18" s="121">
        <v>43.29</v>
      </c>
    </row>
    <row r="19" spans="1:6" ht="14.25" customHeight="1" x14ac:dyDescent="0.2">
      <c r="A19" s="122" t="s">
        <v>1322</v>
      </c>
      <c r="B19" s="150"/>
      <c r="C19" s="95"/>
      <c r="D19" s="95"/>
      <c r="E19" s="121">
        <f>(60*1.1*0.4)</f>
        <v>26.400000000000002</v>
      </c>
    </row>
    <row r="20" spans="1:6" ht="15" customHeight="1" x14ac:dyDescent="0.2">
      <c r="A20" s="238" t="s">
        <v>1323</v>
      </c>
      <c r="B20" s="238"/>
      <c r="C20" s="238"/>
      <c r="D20" s="215"/>
      <c r="E20" s="50">
        <f>(E15-E16)+E17+E18+E19</f>
        <v>329.24</v>
      </c>
    </row>
    <row r="21" spans="1:6" ht="15" customHeight="1" x14ac:dyDescent="0.2">
      <c r="A21" s="238" t="s">
        <v>1324</v>
      </c>
      <c r="B21" s="238"/>
      <c r="C21" s="238"/>
      <c r="D21" s="215"/>
      <c r="E21" s="50">
        <v>227.83</v>
      </c>
    </row>
    <row r="22" spans="1:6" ht="15" customHeight="1" x14ac:dyDescent="0.2">
      <c r="A22" s="235" t="s">
        <v>1325</v>
      </c>
      <c r="B22" s="235"/>
      <c r="C22" s="235"/>
      <c r="D22" s="217"/>
      <c r="E22" s="98">
        <v>174.33</v>
      </c>
    </row>
    <row r="23" spans="1:6" ht="15" customHeight="1" x14ac:dyDescent="0.2">
      <c r="A23" s="236" t="s">
        <v>1326</v>
      </c>
      <c r="B23" s="236"/>
      <c r="C23" s="236"/>
      <c r="D23" s="219"/>
      <c r="E23" s="97">
        <f>E21-E22</f>
        <v>53.5</v>
      </c>
    </row>
    <row r="24" spans="1:6" ht="14.25" customHeight="1" x14ac:dyDescent="0.2">
      <c r="A24" s="34"/>
      <c r="E24" s="36"/>
    </row>
    <row r="25" spans="1:6" s="43" customFormat="1" ht="39.75" customHeight="1" x14ac:dyDescent="0.2">
      <c r="A25" s="45" t="s">
        <v>836</v>
      </c>
      <c r="B25" s="214" t="s">
        <v>837</v>
      </c>
      <c r="C25" s="214"/>
      <c r="D25" s="214"/>
      <c r="E25" s="214"/>
      <c r="F25" s="43" t="s">
        <v>865</v>
      </c>
    </row>
    <row r="26" spans="1:6" s="47" customFormat="1" ht="14.25" customHeight="1" x14ac:dyDescent="0.2">
      <c r="A26" s="48" t="s">
        <v>821</v>
      </c>
      <c r="B26" s="49" t="s">
        <v>824</v>
      </c>
      <c r="C26" s="49" t="s">
        <v>1143</v>
      </c>
      <c r="D26" s="49" t="s">
        <v>823</v>
      </c>
      <c r="E26" s="121" t="s">
        <v>1139</v>
      </c>
    </row>
    <row r="27" spans="1:6" s="47" customFormat="1" ht="14.25" customHeight="1" x14ac:dyDescent="0.2">
      <c r="A27" s="41" t="s">
        <v>1327</v>
      </c>
      <c r="B27" s="151">
        <f>(6.33*4)+4.19+4.39+4.39+(1.87*3)+2.21+0.62+1.16+(3.27*2)+(2.62*2)+(3.3*3)+2.03+0.73+1.26+3.5+1.11+1.66+1.66+2.13+(2.98*3)+(9*2)</f>
        <v>110.58999999999999</v>
      </c>
      <c r="C27" s="54">
        <v>0.4</v>
      </c>
      <c r="D27" s="54">
        <v>0.4</v>
      </c>
      <c r="E27" s="121">
        <f t="shared" ref="E27:E32" si="0">B27*C27*D27</f>
        <v>17.694399999999998</v>
      </c>
    </row>
    <row r="28" spans="1:6" ht="14.25" customHeight="1" x14ac:dyDescent="0.2">
      <c r="A28" s="119" t="s">
        <v>1328</v>
      </c>
      <c r="B28" s="152">
        <f>(6.45*2)+3</f>
        <v>15.9</v>
      </c>
      <c r="C28" s="133">
        <v>0.4</v>
      </c>
      <c r="D28" s="133">
        <v>0.4</v>
      </c>
      <c r="E28" s="121">
        <f t="shared" si="0"/>
        <v>2.5440000000000005</v>
      </c>
    </row>
    <row r="29" spans="1:6" ht="14.25" customHeight="1" x14ac:dyDescent="0.2">
      <c r="A29" s="119" t="s">
        <v>1329</v>
      </c>
      <c r="B29" s="152">
        <v>59</v>
      </c>
      <c r="C29" s="133">
        <v>0.4</v>
      </c>
      <c r="D29" s="133">
        <v>0.4</v>
      </c>
      <c r="E29" s="121">
        <f t="shared" si="0"/>
        <v>9.4400000000000013</v>
      </c>
    </row>
    <row r="30" spans="1:6" ht="14.25" customHeight="1" x14ac:dyDescent="0.2">
      <c r="A30" s="119" t="s">
        <v>1330</v>
      </c>
      <c r="B30" s="152">
        <v>1.5</v>
      </c>
      <c r="C30" s="133">
        <v>0.4</v>
      </c>
      <c r="D30" s="133">
        <v>0.4</v>
      </c>
      <c r="E30" s="121">
        <f t="shared" si="0"/>
        <v>0.24000000000000005</v>
      </c>
    </row>
    <row r="31" spans="1:6" ht="37.5" customHeight="1" x14ac:dyDescent="0.2">
      <c r="A31" s="132" t="s">
        <v>1331</v>
      </c>
      <c r="B31" s="152">
        <f>3.2+3.4</f>
        <v>6.6</v>
      </c>
      <c r="C31" s="134">
        <v>0.4</v>
      </c>
      <c r="D31" s="134">
        <v>0.4</v>
      </c>
      <c r="E31" s="121">
        <f t="shared" si="0"/>
        <v>1.056</v>
      </c>
    </row>
    <row r="32" spans="1:6" ht="30.75" customHeight="1" x14ac:dyDescent="0.2">
      <c r="A32" s="132" t="s">
        <v>1332</v>
      </c>
      <c r="B32" s="152">
        <f>4+1.2</f>
        <v>5.2</v>
      </c>
      <c r="C32" s="134">
        <v>0.4</v>
      </c>
      <c r="D32" s="134">
        <v>0.4</v>
      </c>
      <c r="E32" s="121">
        <f t="shared" si="0"/>
        <v>0.83200000000000007</v>
      </c>
    </row>
    <row r="33" spans="1:6" ht="14.25" customHeight="1" x14ac:dyDescent="0.2">
      <c r="A33" s="238" t="s">
        <v>1333</v>
      </c>
      <c r="B33" s="238"/>
      <c r="C33" s="238"/>
      <c r="D33" s="215"/>
      <c r="E33" s="50">
        <f>SUM(E27:E32)</f>
        <v>31.8064</v>
      </c>
    </row>
    <row r="34" spans="1:6" ht="15" customHeight="1" x14ac:dyDescent="0.2">
      <c r="A34" s="238" t="s">
        <v>1334</v>
      </c>
      <c r="B34" s="238"/>
      <c r="C34" s="238"/>
      <c r="D34" s="215"/>
      <c r="E34" s="50">
        <v>29.92</v>
      </c>
    </row>
    <row r="35" spans="1:6" ht="15" customHeight="1" x14ac:dyDescent="0.2">
      <c r="A35" s="238" t="s">
        <v>1335</v>
      </c>
      <c r="B35" s="238"/>
      <c r="C35" s="238"/>
      <c r="D35" s="215"/>
      <c r="E35" s="50">
        <v>20</v>
      </c>
    </row>
    <row r="36" spans="1:6" ht="15" customHeight="1" x14ac:dyDescent="0.2">
      <c r="A36" s="236" t="s">
        <v>1336</v>
      </c>
      <c r="B36" s="236"/>
      <c r="C36" s="236"/>
      <c r="D36" s="219"/>
      <c r="E36" s="97">
        <f>E34-E35</f>
        <v>9.9200000000000017</v>
      </c>
    </row>
    <row r="37" spans="1:6" x14ac:dyDescent="0.2">
      <c r="A37" s="34"/>
      <c r="E37" s="36"/>
    </row>
    <row r="38" spans="1:6" s="43" customFormat="1" ht="19.5" customHeight="1" x14ac:dyDescent="0.2">
      <c r="A38" s="45" t="s">
        <v>1008</v>
      </c>
      <c r="B38" s="214" t="s">
        <v>91</v>
      </c>
      <c r="C38" s="214"/>
      <c r="D38" s="214"/>
      <c r="E38" s="214"/>
    </row>
    <row r="39" spans="1:6" s="43" customFormat="1" ht="39.75" customHeight="1" x14ac:dyDescent="0.2">
      <c r="A39" s="45" t="s">
        <v>1337</v>
      </c>
      <c r="B39" s="214" t="s">
        <v>95</v>
      </c>
      <c r="C39" s="214"/>
      <c r="D39" s="214"/>
      <c r="E39" s="214"/>
      <c r="F39" s="71" t="s">
        <v>865</v>
      </c>
    </row>
    <row r="40" spans="1:6" s="47" customFormat="1" ht="14.25" customHeight="1" x14ac:dyDescent="0.2">
      <c r="A40" s="48" t="s">
        <v>821</v>
      </c>
      <c r="B40" s="153" t="s">
        <v>883</v>
      </c>
      <c r="C40" s="49" t="s">
        <v>822</v>
      </c>
      <c r="D40" s="49" t="s">
        <v>823</v>
      </c>
      <c r="E40" s="121" t="s">
        <v>1317</v>
      </c>
    </row>
    <row r="41" spans="1:6" ht="14.25" customHeight="1" x14ac:dyDescent="0.2">
      <c r="A41" s="122" t="s">
        <v>1338</v>
      </c>
      <c r="B41" s="150">
        <v>12</v>
      </c>
      <c r="C41" s="95">
        <f>1.65*0.9</f>
        <v>1.4849999999999999</v>
      </c>
      <c r="D41" s="95">
        <v>0.75</v>
      </c>
      <c r="E41" s="121">
        <f t="shared" ref="E41:E51" si="1">B41*C41*D41</f>
        <v>13.365</v>
      </c>
    </row>
    <row r="42" spans="1:6" ht="14.25" customHeight="1" x14ac:dyDescent="0.2">
      <c r="A42" s="122" t="s">
        <v>1339</v>
      </c>
      <c r="B42" s="150">
        <v>7</v>
      </c>
      <c r="C42" s="95">
        <f>2*1</f>
        <v>2</v>
      </c>
      <c r="D42" s="95">
        <v>0.75</v>
      </c>
      <c r="E42" s="121">
        <f t="shared" si="1"/>
        <v>10.5</v>
      </c>
    </row>
    <row r="43" spans="1:6" ht="14.25" customHeight="1" x14ac:dyDescent="0.2">
      <c r="A43" s="122" t="s">
        <v>1340</v>
      </c>
      <c r="B43" s="150">
        <v>28</v>
      </c>
      <c r="C43" s="95">
        <f>0.9*0.9</f>
        <v>0.81</v>
      </c>
      <c r="D43" s="95">
        <v>0.75</v>
      </c>
      <c r="E43" s="121">
        <f t="shared" si="1"/>
        <v>17.009999999999998</v>
      </c>
    </row>
    <row r="44" spans="1:6" ht="14.25" customHeight="1" x14ac:dyDescent="0.2">
      <c r="A44" s="122" t="s">
        <v>1341</v>
      </c>
      <c r="B44" s="150">
        <v>5</v>
      </c>
      <c r="C44" s="95">
        <f>2.11+(0.4*2.11)</f>
        <v>2.9539999999999997</v>
      </c>
      <c r="D44" s="95">
        <v>0.85</v>
      </c>
      <c r="E44" s="121">
        <f t="shared" si="1"/>
        <v>12.554499999999999</v>
      </c>
    </row>
    <row r="45" spans="1:6" ht="14.25" customHeight="1" x14ac:dyDescent="0.2">
      <c r="A45" s="122" t="s">
        <v>1342</v>
      </c>
      <c r="B45" s="150">
        <v>5</v>
      </c>
      <c r="C45" s="95">
        <f>2*2</f>
        <v>4</v>
      </c>
      <c r="D45" s="95">
        <v>1.05</v>
      </c>
      <c r="E45" s="121">
        <f t="shared" si="1"/>
        <v>21</v>
      </c>
    </row>
    <row r="46" spans="1:6" ht="14.25" customHeight="1" x14ac:dyDescent="0.2">
      <c r="A46" s="122" t="s">
        <v>1343</v>
      </c>
      <c r="B46" s="150">
        <v>3</v>
      </c>
      <c r="C46" s="95">
        <f>2*2.73</f>
        <v>5.46</v>
      </c>
      <c r="D46" s="95">
        <v>1.25</v>
      </c>
      <c r="E46" s="121">
        <f t="shared" si="1"/>
        <v>20.474999999999998</v>
      </c>
    </row>
    <row r="47" spans="1:6" ht="14.25" customHeight="1" x14ac:dyDescent="0.2">
      <c r="A47" s="122" t="s">
        <v>1344</v>
      </c>
      <c r="B47" s="150">
        <v>1</v>
      </c>
      <c r="C47" s="154">
        <f>3*2</f>
        <v>6</v>
      </c>
      <c r="D47" s="155">
        <v>1.3</v>
      </c>
      <c r="E47" s="156">
        <f t="shared" si="1"/>
        <v>7.8000000000000007</v>
      </c>
    </row>
    <row r="48" spans="1:6" ht="14.25" customHeight="1" x14ac:dyDescent="0.2">
      <c r="A48" s="116" t="s">
        <v>1345</v>
      </c>
      <c r="B48" s="157">
        <v>4</v>
      </c>
      <c r="C48" s="129">
        <f>2.5*2.5</f>
        <v>6.25</v>
      </c>
      <c r="D48" s="95">
        <v>2.1</v>
      </c>
      <c r="E48" s="121">
        <f t="shared" si="1"/>
        <v>52.5</v>
      </c>
    </row>
    <row r="49" spans="1:6" ht="14.25" customHeight="1" x14ac:dyDescent="0.2">
      <c r="A49" s="116" t="s">
        <v>1346</v>
      </c>
      <c r="B49" s="157">
        <v>1</v>
      </c>
      <c r="C49" s="129">
        <f>1.3*1.3</f>
        <v>1.6900000000000002</v>
      </c>
      <c r="D49" s="95">
        <v>0.85</v>
      </c>
      <c r="E49" s="121">
        <f t="shared" si="1"/>
        <v>1.4365000000000001</v>
      </c>
    </row>
    <row r="50" spans="1:6" ht="14.25" customHeight="1" x14ac:dyDescent="0.2">
      <c r="A50" s="116" t="s">
        <v>1347</v>
      </c>
      <c r="B50" s="157">
        <v>2</v>
      </c>
      <c r="C50" s="129">
        <f>0.9*0.9</f>
        <v>0.81</v>
      </c>
      <c r="D50" s="95">
        <v>0.55000000000000004</v>
      </c>
      <c r="E50" s="121">
        <f t="shared" si="1"/>
        <v>0.89100000000000013</v>
      </c>
    </row>
    <row r="51" spans="1:6" ht="14.25" customHeight="1" x14ac:dyDescent="0.2">
      <c r="A51" s="116" t="s">
        <v>1348</v>
      </c>
      <c r="B51" s="157">
        <v>12</v>
      </c>
      <c r="C51" s="129">
        <f>0.9*0.9</f>
        <v>0.81</v>
      </c>
      <c r="D51" s="95">
        <v>0.55000000000000004</v>
      </c>
      <c r="E51" s="121">
        <f t="shared" si="1"/>
        <v>5.346000000000001</v>
      </c>
    </row>
    <row r="52" spans="1:6" ht="15" customHeight="1" x14ac:dyDescent="0.2">
      <c r="A52" s="238" t="s">
        <v>1349</v>
      </c>
      <c r="B52" s="238"/>
      <c r="C52" s="238"/>
      <c r="D52" s="215"/>
      <c r="E52" s="50">
        <f>SUM(E41:E51)</f>
        <v>162.87799999999999</v>
      </c>
    </row>
    <row r="53" spans="1:6" ht="15" customHeight="1" x14ac:dyDescent="0.2">
      <c r="A53" s="238" t="s">
        <v>1350</v>
      </c>
      <c r="B53" s="238"/>
      <c r="C53" s="238"/>
      <c r="D53" s="215"/>
      <c r="E53" s="50">
        <v>162.88</v>
      </c>
    </row>
    <row r="54" spans="1:6" ht="15" customHeight="1" x14ac:dyDescent="0.2">
      <c r="A54" s="235" t="s">
        <v>1351</v>
      </c>
      <c r="B54" s="235"/>
      <c r="C54" s="235"/>
      <c r="D54" s="217"/>
      <c r="E54" s="98">
        <v>155.19999999999999</v>
      </c>
    </row>
    <row r="55" spans="1:6" ht="15" customHeight="1" x14ac:dyDescent="0.2">
      <c r="A55" s="236" t="s">
        <v>1352</v>
      </c>
      <c r="B55" s="236"/>
      <c r="C55" s="236"/>
      <c r="D55" s="219"/>
      <c r="E55" s="97">
        <v>7.67</v>
      </c>
    </row>
    <row r="56" spans="1:6" x14ac:dyDescent="0.2">
      <c r="A56" s="34"/>
      <c r="E56" s="36"/>
    </row>
    <row r="57" spans="1:6" s="43" customFormat="1" ht="39.75" customHeight="1" x14ac:dyDescent="0.2">
      <c r="A57" s="45" t="s">
        <v>1353</v>
      </c>
      <c r="B57" s="214" t="s">
        <v>97</v>
      </c>
      <c r="C57" s="214"/>
      <c r="D57" s="214"/>
      <c r="E57" s="214"/>
      <c r="F57" s="71" t="s">
        <v>865</v>
      </c>
    </row>
    <row r="58" spans="1:6" s="47" customFormat="1" ht="14.25" customHeight="1" x14ac:dyDescent="0.2">
      <c r="A58" s="253" t="s">
        <v>821</v>
      </c>
      <c r="B58" s="254"/>
      <c r="C58" s="254"/>
      <c r="D58" s="254"/>
      <c r="E58" s="121" t="s">
        <v>908</v>
      </c>
    </row>
    <row r="59" spans="1:6" ht="14.25" customHeight="1" x14ac:dyDescent="0.2">
      <c r="A59" s="122" t="s">
        <v>1354</v>
      </c>
      <c r="B59" s="150"/>
      <c r="C59" s="95"/>
      <c r="D59" s="95"/>
      <c r="E59" s="121">
        <v>215.34</v>
      </c>
    </row>
    <row r="60" spans="1:6" ht="14.25" customHeight="1" x14ac:dyDescent="0.2">
      <c r="A60" s="122" t="s">
        <v>1355</v>
      </c>
      <c r="B60" s="150"/>
      <c r="C60" s="95"/>
      <c r="D60" s="95"/>
      <c r="E60" s="121">
        <f>4.4*0.8</f>
        <v>3.5200000000000005</v>
      </c>
    </row>
    <row r="61" spans="1:6" ht="14.25" customHeight="1" x14ac:dyDescent="0.2">
      <c r="A61" s="122" t="s">
        <v>1356</v>
      </c>
      <c r="B61" s="150"/>
      <c r="C61" s="95"/>
      <c r="D61" s="95"/>
      <c r="E61" s="121">
        <f>2*0.5*2</f>
        <v>2</v>
      </c>
    </row>
    <row r="62" spans="1:6" ht="14.25" customHeight="1" x14ac:dyDescent="0.2">
      <c r="A62" s="122" t="s">
        <v>1357</v>
      </c>
      <c r="B62" s="150"/>
      <c r="C62" s="155"/>
      <c r="D62" s="155"/>
      <c r="E62" s="121">
        <f>2*12*0.5</f>
        <v>12</v>
      </c>
    </row>
    <row r="63" spans="1:6" x14ac:dyDescent="0.2">
      <c r="A63" s="255" t="s">
        <v>1358</v>
      </c>
      <c r="B63" s="256"/>
      <c r="C63" s="256"/>
      <c r="D63" s="256"/>
      <c r="E63" s="121">
        <v>180</v>
      </c>
    </row>
    <row r="64" spans="1:6" x14ac:dyDescent="0.2">
      <c r="A64" s="255" t="s">
        <v>1359</v>
      </c>
      <c r="B64" s="256"/>
      <c r="C64" s="256"/>
      <c r="D64" s="256"/>
      <c r="E64" s="121">
        <v>587.6</v>
      </c>
    </row>
    <row r="65" spans="1:5" ht="15" customHeight="1" x14ac:dyDescent="0.2">
      <c r="A65" s="238" t="s">
        <v>1360</v>
      </c>
      <c r="B65" s="238"/>
      <c r="C65" s="238"/>
      <c r="D65" s="215"/>
      <c r="E65" s="50">
        <f>SUM(E59:E64)</f>
        <v>1000.46</v>
      </c>
    </row>
    <row r="66" spans="1:5" ht="15" customHeight="1" x14ac:dyDescent="0.2">
      <c r="A66" s="238" t="s">
        <v>1361</v>
      </c>
      <c r="B66" s="238"/>
      <c r="C66" s="238"/>
      <c r="D66" s="215"/>
      <c r="E66" s="50">
        <v>1000.46</v>
      </c>
    </row>
    <row r="67" spans="1:5" ht="15" customHeight="1" x14ac:dyDescent="0.2">
      <c r="A67" s="235" t="s">
        <v>1362</v>
      </c>
      <c r="B67" s="235"/>
      <c r="C67" s="235"/>
      <c r="D67" s="217"/>
      <c r="E67" s="98">
        <v>982.94</v>
      </c>
    </row>
    <row r="68" spans="1:5" ht="15" customHeight="1" x14ac:dyDescent="0.2">
      <c r="A68" s="236" t="s">
        <v>1363</v>
      </c>
      <c r="B68" s="236"/>
      <c r="C68" s="236"/>
      <c r="D68" s="219"/>
      <c r="E68" s="97">
        <f>E65-E67</f>
        <v>17.519999999999982</v>
      </c>
    </row>
    <row r="69" spans="1:5" x14ac:dyDescent="0.2">
      <c r="A69" s="34"/>
      <c r="E69" s="36"/>
    </row>
    <row r="70" spans="1:5" s="43" customFormat="1" ht="32.25" customHeight="1" x14ac:dyDescent="0.2">
      <c r="A70" s="45" t="s">
        <v>1364</v>
      </c>
      <c r="B70" s="214" t="s">
        <v>99</v>
      </c>
      <c r="C70" s="214"/>
      <c r="D70" s="214"/>
      <c r="E70" s="214"/>
    </row>
    <row r="71" spans="1:5" s="47" customFormat="1" ht="14.25" customHeight="1" x14ac:dyDescent="0.2">
      <c r="A71" s="48" t="s">
        <v>821</v>
      </c>
      <c r="B71" s="49" t="s">
        <v>824</v>
      </c>
      <c r="C71" s="49" t="s">
        <v>1143</v>
      </c>
      <c r="D71" s="49" t="s">
        <v>823</v>
      </c>
      <c r="E71" s="121" t="s">
        <v>1317</v>
      </c>
    </row>
    <row r="72" spans="1:5" ht="91.5" customHeight="1" x14ac:dyDescent="0.2">
      <c r="A72" s="147" t="s">
        <v>1365</v>
      </c>
      <c r="B72" s="157">
        <f>4.19+7.86+20.34+11.73+11.73+21.31+2.67+2.69+5.84+5.05+4.6+5.93+5.85+4.86+3.3+7+1.8+16.35+2.69+2.79+7.32+4.38+15.96</f>
        <v>176.23999999999998</v>
      </c>
      <c r="C72" s="129">
        <f>0.3+0.4</f>
        <v>0.7</v>
      </c>
      <c r="D72" s="129">
        <v>0.45</v>
      </c>
      <c r="E72" s="121">
        <f t="shared" ref="E72:E84" si="2">B72*C72*D72</f>
        <v>55.515599999999992</v>
      </c>
    </row>
    <row r="73" spans="1:5" ht="38.25" customHeight="1" x14ac:dyDescent="0.2">
      <c r="A73" s="147" t="s">
        <v>1366</v>
      </c>
      <c r="B73" s="157">
        <f>6.19+5.06+7.39+14.88+14.88+14.88+14.88</f>
        <v>78.160000000000011</v>
      </c>
      <c r="C73" s="129">
        <f>0.45+0.4</f>
        <v>0.85000000000000009</v>
      </c>
      <c r="D73" s="129">
        <v>0.45</v>
      </c>
      <c r="E73" s="121">
        <f t="shared" si="2"/>
        <v>29.896200000000011</v>
      </c>
    </row>
    <row r="74" spans="1:5" ht="38.25" customHeight="1" x14ac:dyDescent="0.2">
      <c r="A74" s="147" t="s">
        <v>1367</v>
      </c>
      <c r="B74" s="157">
        <f>11.73+3.9+4.43+4.49+4.36+4.02+6.1</f>
        <v>39.030000000000008</v>
      </c>
      <c r="C74" s="129">
        <f>0.3+0.2</f>
        <v>0.5</v>
      </c>
      <c r="D74" s="129">
        <v>0.55000000000000004</v>
      </c>
      <c r="E74" s="121">
        <f t="shared" si="2"/>
        <v>10.733250000000004</v>
      </c>
    </row>
    <row r="75" spans="1:5" ht="31.5" customHeight="1" x14ac:dyDescent="0.2">
      <c r="A75" s="147" t="s">
        <v>1368</v>
      </c>
      <c r="B75" s="157">
        <f>2.27+4.93+0.71+3.3+1.3</f>
        <v>12.51</v>
      </c>
      <c r="C75" s="129">
        <f>0.2+0.2</f>
        <v>0.4</v>
      </c>
      <c r="D75" s="129">
        <v>0.45</v>
      </c>
      <c r="E75" s="121">
        <f t="shared" si="2"/>
        <v>2.2518000000000002</v>
      </c>
    </row>
    <row r="76" spans="1:5" ht="28.5" customHeight="1" x14ac:dyDescent="0.2">
      <c r="A76" s="147" t="s">
        <v>1369</v>
      </c>
      <c r="B76" s="157">
        <v>32.4</v>
      </c>
      <c r="C76" s="129">
        <f>0.45+0.4</f>
        <v>0.85000000000000009</v>
      </c>
      <c r="D76" s="129">
        <v>0.75</v>
      </c>
      <c r="E76" s="121">
        <f t="shared" si="2"/>
        <v>20.655000000000001</v>
      </c>
    </row>
    <row r="77" spans="1:5" ht="30" customHeight="1" x14ac:dyDescent="0.2">
      <c r="A77" s="147" t="s">
        <v>1370</v>
      </c>
      <c r="B77" s="157">
        <v>32.4</v>
      </c>
      <c r="C77" s="129">
        <f>0.4+0.4</f>
        <v>0.8</v>
      </c>
      <c r="D77" s="129">
        <v>0.45</v>
      </c>
      <c r="E77" s="121">
        <f t="shared" si="2"/>
        <v>11.664000000000001</v>
      </c>
    </row>
    <row r="78" spans="1:5" ht="30" customHeight="1" x14ac:dyDescent="0.2">
      <c r="A78" s="147" t="s">
        <v>1371</v>
      </c>
      <c r="B78" s="150">
        <f>4.65+5.81</f>
        <v>10.46</v>
      </c>
      <c r="C78" s="129">
        <f>0.45+0.4</f>
        <v>0.85000000000000009</v>
      </c>
      <c r="D78" s="129">
        <v>0.55000000000000004</v>
      </c>
      <c r="E78" s="121">
        <f t="shared" si="2"/>
        <v>4.8900500000000013</v>
      </c>
    </row>
    <row r="79" spans="1:5" ht="27.75" customHeight="1" x14ac:dyDescent="0.2">
      <c r="A79" s="147" t="s">
        <v>1372</v>
      </c>
      <c r="B79" s="150">
        <v>3.77</v>
      </c>
      <c r="C79" s="129">
        <f>0.2+0.4</f>
        <v>0.60000000000000009</v>
      </c>
      <c r="D79" s="129">
        <v>0.55000000000000004</v>
      </c>
      <c r="E79" s="121">
        <f t="shared" si="2"/>
        <v>1.2441000000000004</v>
      </c>
    </row>
    <row r="80" spans="1:5" ht="27.75" customHeight="1" x14ac:dyDescent="0.2">
      <c r="A80" s="147" t="s">
        <v>1373</v>
      </c>
      <c r="B80" s="150">
        <f>1.16</f>
        <v>1.1599999999999999</v>
      </c>
      <c r="C80" s="129">
        <f>0.3+0.4</f>
        <v>0.7</v>
      </c>
      <c r="D80" s="129">
        <v>0.65</v>
      </c>
      <c r="E80" s="121">
        <f t="shared" si="2"/>
        <v>0.52779999999999994</v>
      </c>
    </row>
    <row r="81" spans="1:6" ht="30" customHeight="1" x14ac:dyDescent="0.2">
      <c r="A81" s="147" t="s">
        <v>1374</v>
      </c>
      <c r="B81" s="150">
        <f>9.34+9.34+9.34+9.34</f>
        <v>37.36</v>
      </c>
      <c r="C81" s="129">
        <f>0.4+0.4</f>
        <v>0.8</v>
      </c>
      <c r="D81" s="129">
        <v>0.75</v>
      </c>
      <c r="E81" s="121">
        <f t="shared" si="2"/>
        <v>22.416</v>
      </c>
    </row>
    <row r="82" spans="1:6" ht="30" customHeight="1" x14ac:dyDescent="0.2">
      <c r="A82" s="147" t="s">
        <v>1375</v>
      </c>
      <c r="B82" s="150">
        <f>8.18+6</f>
        <v>14.18</v>
      </c>
      <c r="C82" s="129">
        <f>0.45+0.4</f>
        <v>0.85000000000000009</v>
      </c>
      <c r="D82" s="129">
        <v>0.65</v>
      </c>
      <c r="E82" s="121">
        <f t="shared" si="2"/>
        <v>7.8344500000000012</v>
      </c>
    </row>
    <row r="83" spans="1:6" ht="43.5" customHeight="1" x14ac:dyDescent="0.2">
      <c r="A83" s="146" t="s">
        <v>1376</v>
      </c>
      <c r="B83" s="152">
        <v>198.79</v>
      </c>
      <c r="C83" s="129">
        <v>0.4</v>
      </c>
      <c r="D83" s="129">
        <v>1.1000000000000001</v>
      </c>
      <c r="E83" s="121">
        <f t="shared" si="2"/>
        <v>87.467600000000019</v>
      </c>
    </row>
    <row r="84" spans="1:6" ht="14.25" customHeight="1" x14ac:dyDescent="0.2">
      <c r="A84" s="122" t="s">
        <v>1377</v>
      </c>
      <c r="B84" s="150">
        <f>3+13.78+45.31+23.67+7.47+31.43+24.72+4+8.61+10.45+9.85+36.68+3.63+4.61</f>
        <v>227.21</v>
      </c>
      <c r="C84" s="95">
        <v>0.4</v>
      </c>
      <c r="D84" s="95">
        <v>0.35</v>
      </c>
      <c r="E84" s="121">
        <f t="shared" si="2"/>
        <v>31.809400000000004</v>
      </c>
    </row>
    <row r="85" spans="1:6" ht="15" customHeight="1" x14ac:dyDescent="0.2">
      <c r="A85" s="238" t="s">
        <v>1378</v>
      </c>
      <c r="B85" s="238"/>
      <c r="C85" s="238"/>
      <c r="D85" s="215"/>
      <c r="E85" s="50">
        <f>SUM(E72:E84)</f>
        <v>286.90525000000002</v>
      </c>
    </row>
    <row r="86" spans="1:6" ht="15" customHeight="1" x14ac:dyDescent="0.2">
      <c r="A86" s="238" t="s">
        <v>1350</v>
      </c>
      <c r="B86" s="238"/>
      <c r="C86" s="238"/>
      <c r="D86" s="215"/>
      <c r="E86" s="50">
        <v>281.70999999999998</v>
      </c>
    </row>
    <row r="87" spans="1:6" ht="15" customHeight="1" x14ac:dyDescent="0.2">
      <c r="A87" s="235" t="s">
        <v>1351</v>
      </c>
      <c r="B87" s="235"/>
      <c r="C87" s="235"/>
      <c r="D87" s="217"/>
      <c r="E87" s="98">
        <v>222.63</v>
      </c>
    </row>
    <row r="88" spans="1:6" ht="15" customHeight="1" x14ac:dyDescent="0.2">
      <c r="A88" s="236" t="s">
        <v>1352</v>
      </c>
      <c r="B88" s="236"/>
      <c r="C88" s="236"/>
      <c r="D88" s="219"/>
      <c r="E88" s="97">
        <v>59.09</v>
      </c>
    </row>
    <row r="89" spans="1:6" ht="15" customHeight="1" x14ac:dyDescent="0.2">
      <c r="A89" s="237" t="s">
        <v>1379</v>
      </c>
      <c r="B89" s="237"/>
      <c r="C89" s="237"/>
      <c r="D89" s="233"/>
      <c r="E89" s="96">
        <f>E86-E85</f>
        <v>-5.1952500000000441</v>
      </c>
    </row>
    <row r="90" spans="1:6" x14ac:dyDescent="0.2">
      <c r="A90" s="34"/>
      <c r="E90" s="36"/>
    </row>
    <row r="91" spans="1:6" s="43" customFormat="1" ht="39.75" customHeight="1" x14ac:dyDescent="0.2">
      <c r="A91" s="45" t="s">
        <v>1603</v>
      </c>
      <c r="B91" s="214" t="s">
        <v>101</v>
      </c>
      <c r="C91" s="214"/>
      <c r="D91" s="214"/>
      <c r="E91" s="214"/>
      <c r="F91" s="71" t="s">
        <v>865</v>
      </c>
    </row>
    <row r="92" spans="1:6" s="47" customFormat="1" ht="14.25" customHeight="1" x14ac:dyDescent="0.2">
      <c r="A92" s="253" t="s">
        <v>821</v>
      </c>
      <c r="B92" s="254"/>
      <c r="C92" s="254"/>
      <c r="D92" s="254"/>
      <c r="E92" s="121" t="s">
        <v>908</v>
      </c>
    </row>
    <row r="93" spans="1:6" ht="14.25" customHeight="1" x14ac:dyDescent="0.2">
      <c r="A93" s="122" t="s">
        <v>1608</v>
      </c>
      <c r="B93" s="150"/>
      <c r="C93" s="95"/>
      <c r="D93" s="95"/>
      <c r="E93" s="121">
        <v>965.07</v>
      </c>
    </row>
    <row r="94" spans="1:6" ht="14.25" customHeight="1" x14ac:dyDescent="0.2">
      <c r="A94" s="122"/>
      <c r="B94" s="150"/>
      <c r="C94" s="95"/>
      <c r="D94" s="95"/>
      <c r="E94" s="121"/>
    </row>
    <row r="95" spans="1:6" ht="15" customHeight="1" x14ac:dyDescent="0.2">
      <c r="A95" s="238" t="s">
        <v>1609</v>
      </c>
      <c r="B95" s="238"/>
      <c r="C95" s="238"/>
      <c r="D95" s="215"/>
      <c r="E95" s="50">
        <f>SUM(E93:E93)</f>
        <v>965.07</v>
      </c>
    </row>
    <row r="96" spans="1:6" ht="15" customHeight="1" x14ac:dyDescent="0.2">
      <c r="A96" s="238" t="s">
        <v>1610</v>
      </c>
      <c r="B96" s="238"/>
      <c r="C96" s="238"/>
      <c r="D96" s="215"/>
      <c r="E96" s="50">
        <v>965.07</v>
      </c>
    </row>
    <row r="97" spans="1:5" ht="15" customHeight="1" x14ac:dyDescent="0.2">
      <c r="A97" s="235" t="s">
        <v>1611</v>
      </c>
      <c r="B97" s="235"/>
      <c r="C97" s="235"/>
      <c r="D97" s="217"/>
      <c r="E97" s="98">
        <v>0</v>
      </c>
    </row>
    <row r="98" spans="1:5" ht="15" customHeight="1" x14ac:dyDescent="0.2">
      <c r="A98" s="236" t="s">
        <v>1612</v>
      </c>
      <c r="B98" s="236"/>
      <c r="C98" s="236"/>
      <c r="D98" s="219"/>
      <c r="E98" s="97">
        <f>E95-E97</f>
        <v>965.07</v>
      </c>
    </row>
    <row r="99" spans="1:5" x14ac:dyDescent="0.2">
      <c r="A99" s="34"/>
      <c r="E99" s="36"/>
    </row>
    <row r="100" spans="1:5" s="43" customFormat="1" ht="39.75" customHeight="1" x14ac:dyDescent="0.2">
      <c r="A100" s="45" t="s">
        <v>1380</v>
      </c>
      <c r="B100" s="214" t="s">
        <v>111</v>
      </c>
      <c r="C100" s="214"/>
      <c r="D100" s="214"/>
      <c r="E100" s="214"/>
    </row>
    <row r="101" spans="1:5" s="47" customFormat="1" ht="14.25" customHeight="1" x14ac:dyDescent="0.2">
      <c r="A101" s="48" t="s">
        <v>821</v>
      </c>
      <c r="B101" s="153" t="s">
        <v>883</v>
      </c>
      <c r="C101" s="49" t="s">
        <v>822</v>
      </c>
      <c r="D101" s="49" t="s">
        <v>823</v>
      </c>
      <c r="E101" s="121" t="s">
        <v>1317</v>
      </c>
    </row>
    <row r="102" spans="1:5" ht="14.25" customHeight="1" x14ac:dyDescent="0.2">
      <c r="A102" s="122" t="s">
        <v>1338</v>
      </c>
      <c r="B102" s="150">
        <v>12</v>
      </c>
      <c r="C102" s="95">
        <f>1.65*0.9</f>
        <v>1.4849999999999999</v>
      </c>
      <c r="D102" s="95">
        <v>0.05</v>
      </c>
      <c r="E102" s="121">
        <f t="shared" ref="E102:E112" si="3">B102*C102*D102</f>
        <v>0.89100000000000001</v>
      </c>
    </row>
    <row r="103" spans="1:5" ht="14.25" customHeight="1" x14ac:dyDescent="0.2">
      <c r="A103" s="122" t="s">
        <v>1339</v>
      </c>
      <c r="B103" s="150">
        <v>7</v>
      </c>
      <c r="C103" s="95">
        <f>2*1</f>
        <v>2</v>
      </c>
      <c r="D103" s="95">
        <v>0.05</v>
      </c>
      <c r="E103" s="121">
        <f t="shared" si="3"/>
        <v>0.70000000000000007</v>
      </c>
    </row>
    <row r="104" spans="1:5" ht="14.25" customHeight="1" x14ac:dyDescent="0.2">
      <c r="A104" s="122" t="s">
        <v>1340</v>
      </c>
      <c r="B104" s="150">
        <v>28</v>
      </c>
      <c r="C104" s="95">
        <f>0.9*0.9</f>
        <v>0.81</v>
      </c>
      <c r="D104" s="95">
        <v>0.05</v>
      </c>
      <c r="E104" s="121">
        <f t="shared" si="3"/>
        <v>1.1340000000000001</v>
      </c>
    </row>
    <row r="105" spans="1:5" ht="14.25" customHeight="1" x14ac:dyDescent="0.2">
      <c r="A105" s="122" t="s">
        <v>1341</v>
      </c>
      <c r="B105" s="150">
        <v>5</v>
      </c>
      <c r="C105" s="95">
        <v>2.59</v>
      </c>
      <c r="D105" s="95">
        <v>0.05</v>
      </c>
      <c r="E105" s="121">
        <f t="shared" si="3"/>
        <v>0.64749999999999996</v>
      </c>
    </row>
    <row r="106" spans="1:5" ht="14.25" customHeight="1" x14ac:dyDescent="0.2">
      <c r="A106" s="122" t="s">
        <v>1342</v>
      </c>
      <c r="B106" s="150">
        <v>5</v>
      </c>
      <c r="C106" s="95">
        <f>2*2</f>
        <v>4</v>
      </c>
      <c r="D106" s="95">
        <v>0.05</v>
      </c>
      <c r="E106" s="121">
        <f t="shared" si="3"/>
        <v>1</v>
      </c>
    </row>
    <row r="107" spans="1:5" ht="14.25" customHeight="1" x14ac:dyDescent="0.2">
      <c r="A107" s="122" t="s">
        <v>1343</v>
      </c>
      <c r="B107" s="150">
        <v>3</v>
      </c>
      <c r="C107" s="95">
        <f>2*2.73</f>
        <v>5.46</v>
      </c>
      <c r="D107" s="95">
        <v>0.05</v>
      </c>
      <c r="E107" s="121">
        <f t="shared" si="3"/>
        <v>0.81899999999999995</v>
      </c>
    </row>
    <row r="108" spans="1:5" ht="14.25" customHeight="1" x14ac:dyDescent="0.2">
      <c r="A108" s="116" t="s">
        <v>1344</v>
      </c>
      <c r="B108" s="157">
        <v>1</v>
      </c>
      <c r="C108" s="129">
        <f>3*2</f>
        <v>6</v>
      </c>
      <c r="D108" s="95">
        <v>0.05</v>
      </c>
      <c r="E108" s="121">
        <f t="shared" si="3"/>
        <v>0.30000000000000004</v>
      </c>
    </row>
    <row r="109" spans="1:5" ht="14.25" customHeight="1" x14ac:dyDescent="0.2">
      <c r="A109" s="116" t="s">
        <v>1381</v>
      </c>
      <c r="B109" s="157">
        <v>4</v>
      </c>
      <c r="C109" s="129">
        <f>2.5*2.5</f>
        <v>6.25</v>
      </c>
      <c r="D109" s="95">
        <v>0.05</v>
      </c>
      <c r="E109" s="121">
        <f t="shared" si="3"/>
        <v>1.25</v>
      </c>
    </row>
    <row r="110" spans="1:5" ht="14.25" customHeight="1" x14ac:dyDescent="0.2">
      <c r="A110" s="116" t="s">
        <v>1382</v>
      </c>
      <c r="B110" s="157">
        <v>2</v>
      </c>
      <c r="C110" s="129">
        <f>0.6*0.6</f>
        <v>0.36</v>
      </c>
      <c r="D110" s="95">
        <v>0.05</v>
      </c>
      <c r="E110" s="121">
        <f t="shared" si="3"/>
        <v>3.5999999999999997E-2</v>
      </c>
    </row>
    <row r="111" spans="1:5" ht="14.25" customHeight="1" x14ac:dyDescent="0.2">
      <c r="A111" s="116" t="s">
        <v>1383</v>
      </c>
      <c r="B111" s="157">
        <v>12</v>
      </c>
      <c r="C111" s="129">
        <f>0.9*0.9</f>
        <v>0.81</v>
      </c>
      <c r="D111" s="95">
        <v>0.05</v>
      </c>
      <c r="E111" s="121">
        <f t="shared" si="3"/>
        <v>0.48600000000000004</v>
      </c>
    </row>
    <row r="112" spans="1:5" ht="14.25" customHeight="1" x14ac:dyDescent="0.2">
      <c r="A112" s="116" t="s">
        <v>1384</v>
      </c>
      <c r="B112" s="157">
        <v>1</v>
      </c>
      <c r="C112" s="129">
        <f>1.2*1.2</f>
        <v>1.44</v>
      </c>
      <c r="D112" s="95">
        <v>0.05</v>
      </c>
      <c r="E112" s="121">
        <f t="shared" si="3"/>
        <v>7.1999999999999995E-2</v>
      </c>
    </row>
    <row r="113" spans="1:5" ht="87" customHeight="1" x14ac:dyDescent="0.2">
      <c r="A113" s="147" t="s">
        <v>1365</v>
      </c>
      <c r="B113" s="157">
        <v>1</v>
      </c>
      <c r="C113" s="129">
        <f>0.7*176.24</f>
        <v>123.36799999999999</v>
      </c>
      <c r="D113" s="129">
        <v>0.05</v>
      </c>
      <c r="E113" s="121">
        <f>C113*D113</f>
        <v>6.1684000000000001</v>
      </c>
    </row>
    <row r="114" spans="1:5" ht="42" customHeight="1" x14ac:dyDescent="0.2">
      <c r="A114" s="147" t="s">
        <v>1366</v>
      </c>
      <c r="B114" s="157">
        <v>1</v>
      </c>
      <c r="C114" s="129">
        <f>0.85*78.16</f>
        <v>66.435999999999993</v>
      </c>
      <c r="D114" s="129">
        <v>0.05</v>
      </c>
      <c r="E114" s="121">
        <f t="shared" ref="E114:E124" si="4">B114*C114*D114</f>
        <v>3.3217999999999996</v>
      </c>
    </row>
    <row r="115" spans="1:5" ht="40.5" customHeight="1" x14ac:dyDescent="0.2">
      <c r="A115" s="147" t="s">
        <v>1367</v>
      </c>
      <c r="B115" s="157">
        <v>1</v>
      </c>
      <c r="C115" s="129">
        <f>0.7*39.03</f>
        <v>27.320999999999998</v>
      </c>
      <c r="D115" s="129">
        <v>0.05</v>
      </c>
      <c r="E115" s="121">
        <f t="shared" si="4"/>
        <v>1.36605</v>
      </c>
    </row>
    <row r="116" spans="1:5" ht="30" customHeight="1" x14ac:dyDescent="0.2">
      <c r="A116" s="147" t="s">
        <v>1368</v>
      </c>
      <c r="B116" s="157">
        <v>1</v>
      </c>
      <c r="C116" s="129">
        <f>0.6*12.51</f>
        <v>7.5059999999999993</v>
      </c>
      <c r="D116" s="129">
        <v>0.05</v>
      </c>
      <c r="E116" s="121">
        <f t="shared" si="4"/>
        <v>0.37529999999999997</v>
      </c>
    </row>
    <row r="117" spans="1:5" ht="23.25" customHeight="1" x14ac:dyDescent="0.2">
      <c r="A117" s="147" t="s">
        <v>1369</v>
      </c>
      <c r="B117" s="157">
        <v>1</v>
      </c>
      <c r="C117" s="129">
        <f>0.85*32.24</f>
        <v>27.404</v>
      </c>
      <c r="D117" s="129">
        <v>0.05</v>
      </c>
      <c r="E117" s="121">
        <f t="shared" si="4"/>
        <v>1.3702000000000001</v>
      </c>
    </row>
    <row r="118" spans="1:5" ht="27" customHeight="1" x14ac:dyDescent="0.2">
      <c r="A118" s="147" t="s">
        <v>1370</v>
      </c>
      <c r="B118" s="157">
        <v>1</v>
      </c>
      <c r="C118" s="129">
        <f>0.8*32.4</f>
        <v>25.92</v>
      </c>
      <c r="D118" s="129">
        <v>0.05</v>
      </c>
      <c r="E118" s="121">
        <f t="shared" si="4"/>
        <v>1.2960000000000003</v>
      </c>
    </row>
    <row r="119" spans="1:5" ht="24" customHeight="1" x14ac:dyDescent="0.2">
      <c r="A119" s="147" t="s">
        <v>1371</v>
      </c>
      <c r="B119" s="157">
        <v>1</v>
      </c>
      <c r="C119" s="129">
        <f>0.85*10.46</f>
        <v>8.891</v>
      </c>
      <c r="D119" s="129">
        <v>0.05</v>
      </c>
      <c r="E119" s="121">
        <f t="shared" si="4"/>
        <v>0.44455</v>
      </c>
    </row>
    <row r="120" spans="1:5" ht="26.25" customHeight="1" x14ac:dyDescent="0.2">
      <c r="A120" s="147" t="s">
        <v>1372</v>
      </c>
      <c r="B120" s="157">
        <v>1</v>
      </c>
      <c r="C120" s="129">
        <f>0.6*3.77</f>
        <v>2.262</v>
      </c>
      <c r="D120" s="129">
        <v>0.05</v>
      </c>
      <c r="E120" s="121">
        <f t="shared" si="4"/>
        <v>0.11310000000000001</v>
      </c>
    </row>
    <row r="121" spans="1:5" ht="25.5" customHeight="1" x14ac:dyDescent="0.2">
      <c r="A121" s="147" t="s">
        <v>1373</v>
      </c>
      <c r="B121" s="157">
        <v>1</v>
      </c>
      <c r="C121" s="129">
        <f>0.7*1.16</f>
        <v>0.81199999999999994</v>
      </c>
      <c r="D121" s="129">
        <v>0.05</v>
      </c>
      <c r="E121" s="121">
        <f t="shared" si="4"/>
        <v>4.0599999999999997E-2</v>
      </c>
    </row>
    <row r="122" spans="1:5" ht="25.5" customHeight="1" x14ac:dyDescent="0.2">
      <c r="A122" s="147" t="s">
        <v>1374</v>
      </c>
      <c r="B122" s="157">
        <v>1</v>
      </c>
      <c r="C122" s="129">
        <f>0.8*37.36</f>
        <v>29.888000000000002</v>
      </c>
      <c r="D122" s="129">
        <v>0.05</v>
      </c>
      <c r="E122" s="121">
        <f t="shared" si="4"/>
        <v>1.4944000000000002</v>
      </c>
    </row>
    <row r="123" spans="1:5" ht="25.5" customHeight="1" x14ac:dyDescent="0.2">
      <c r="A123" s="147" t="s">
        <v>1375</v>
      </c>
      <c r="B123" s="157">
        <v>1</v>
      </c>
      <c r="C123" s="129">
        <f>0.85*14.18</f>
        <v>12.052999999999999</v>
      </c>
      <c r="D123" s="129">
        <v>0.05</v>
      </c>
      <c r="E123" s="121">
        <f t="shared" si="4"/>
        <v>0.60265000000000002</v>
      </c>
    </row>
    <row r="124" spans="1:5" ht="14.25" customHeight="1" x14ac:dyDescent="0.2">
      <c r="A124" s="116" t="s">
        <v>1385</v>
      </c>
      <c r="B124" s="157"/>
      <c r="C124" s="129"/>
      <c r="D124" s="129">
        <v>0.05</v>
      </c>
      <c r="E124" s="121">
        <f t="shared" si="4"/>
        <v>0</v>
      </c>
    </row>
    <row r="125" spans="1:5" ht="15" customHeight="1" x14ac:dyDescent="0.2">
      <c r="A125" s="238" t="s">
        <v>1386</v>
      </c>
      <c r="B125" s="238"/>
      <c r="C125" s="238"/>
      <c r="D125" s="215"/>
      <c r="E125" s="50">
        <f>SUM(E102:E124)</f>
        <v>23.928549999999998</v>
      </c>
    </row>
    <row r="126" spans="1:5" ht="15" customHeight="1" x14ac:dyDescent="0.2">
      <c r="A126" s="238" t="s">
        <v>1387</v>
      </c>
      <c r="B126" s="238"/>
      <c r="C126" s="238"/>
      <c r="D126" s="215"/>
      <c r="E126" s="50">
        <v>23.93</v>
      </c>
    </row>
    <row r="127" spans="1:5" ht="15" customHeight="1" x14ac:dyDescent="0.2">
      <c r="A127" s="235" t="s">
        <v>1388</v>
      </c>
      <c r="B127" s="235"/>
      <c r="C127" s="235"/>
      <c r="D127" s="217"/>
      <c r="E127" s="98">
        <v>23.32</v>
      </c>
    </row>
    <row r="128" spans="1:5" ht="15" customHeight="1" x14ac:dyDescent="0.2">
      <c r="A128" s="236" t="s">
        <v>1389</v>
      </c>
      <c r="B128" s="236"/>
      <c r="C128" s="236"/>
      <c r="D128" s="219"/>
      <c r="E128" s="97">
        <v>0.6</v>
      </c>
    </row>
    <row r="129" spans="1:5" x14ac:dyDescent="0.2">
      <c r="A129" s="34"/>
      <c r="E129" s="36"/>
    </row>
    <row r="130" spans="1:5" s="43" customFormat="1" ht="39.75" customHeight="1" x14ac:dyDescent="0.2">
      <c r="A130" s="45" t="s">
        <v>1390</v>
      </c>
      <c r="B130" s="214" t="s">
        <v>840</v>
      </c>
      <c r="C130" s="214"/>
      <c r="D130" s="214"/>
      <c r="E130" s="214"/>
    </row>
    <row r="131" spans="1:5" s="47" customFormat="1" ht="14.25" customHeight="1" x14ac:dyDescent="0.2">
      <c r="A131" s="253" t="s">
        <v>821</v>
      </c>
      <c r="B131" s="254"/>
      <c r="C131" s="49"/>
      <c r="D131" s="49"/>
      <c r="E131" s="121" t="s">
        <v>1317</v>
      </c>
    </row>
    <row r="132" spans="1:5" ht="14.25" customHeight="1" x14ac:dyDescent="0.2">
      <c r="A132" s="122" t="s">
        <v>1391</v>
      </c>
      <c r="B132" s="150"/>
      <c r="C132" s="95"/>
      <c r="D132" s="95"/>
      <c r="E132" s="121">
        <v>72.05</v>
      </c>
    </row>
    <row r="133" spans="1:5" ht="14.25" customHeight="1" x14ac:dyDescent="0.2">
      <c r="A133" s="122" t="s">
        <v>1392</v>
      </c>
      <c r="B133" s="150"/>
      <c r="C133" s="95"/>
      <c r="D133" s="95"/>
      <c r="E133" s="121">
        <v>73.05</v>
      </c>
    </row>
    <row r="134" spans="1:5" ht="14.25" customHeight="1" x14ac:dyDescent="0.2">
      <c r="A134" s="122" t="s">
        <v>1393</v>
      </c>
      <c r="B134" s="150"/>
      <c r="C134" s="95"/>
      <c r="D134" s="95"/>
      <c r="E134" s="121">
        <v>4.0999999999999996</v>
      </c>
    </row>
    <row r="135" spans="1:5" ht="14.25" customHeight="1" x14ac:dyDescent="0.2">
      <c r="A135" s="122" t="s">
        <v>1394</v>
      </c>
      <c r="B135" s="150"/>
      <c r="C135" s="95"/>
      <c r="D135" s="95"/>
      <c r="E135" s="121">
        <v>8.69</v>
      </c>
    </row>
    <row r="136" spans="1:5" ht="14.25" customHeight="1" x14ac:dyDescent="0.2">
      <c r="A136" s="122" t="s">
        <v>1395</v>
      </c>
      <c r="B136" s="150"/>
      <c r="C136" s="95"/>
      <c r="D136" s="95"/>
      <c r="E136" s="121">
        <v>1.82</v>
      </c>
    </row>
    <row r="137" spans="1:5" ht="14.25" customHeight="1" x14ac:dyDescent="0.2">
      <c r="A137" s="122" t="s">
        <v>1382</v>
      </c>
      <c r="B137" s="150"/>
      <c r="C137" s="95"/>
      <c r="D137" s="95"/>
      <c r="E137" s="121">
        <f>0.5*0.5*0.5</f>
        <v>0.125</v>
      </c>
    </row>
    <row r="138" spans="1:5" ht="14.25" customHeight="1" x14ac:dyDescent="0.2">
      <c r="A138" s="122" t="s">
        <v>1383</v>
      </c>
      <c r="B138" s="150"/>
      <c r="C138" s="95"/>
      <c r="D138" s="95"/>
      <c r="E138" s="121">
        <v>1.65</v>
      </c>
    </row>
    <row r="139" spans="1:5" ht="14.25" customHeight="1" x14ac:dyDescent="0.2">
      <c r="A139" s="122" t="s">
        <v>1384</v>
      </c>
      <c r="B139" s="150"/>
      <c r="C139" s="95"/>
      <c r="D139" s="95"/>
      <c r="E139" s="121">
        <f>1.1*1.1*0.8</f>
        <v>0.96800000000000019</v>
      </c>
    </row>
    <row r="140" spans="1:5" ht="14.25" customHeight="1" x14ac:dyDescent="0.2">
      <c r="A140" s="122" t="s">
        <v>1396</v>
      </c>
      <c r="B140" s="150"/>
      <c r="C140" s="95"/>
      <c r="D140" s="95"/>
      <c r="E140" s="121">
        <v>0.45500000000000002</v>
      </c>
    </row>
    <row r="141" spans="1:5" ht="15" customHeight="1" x14ac:dyDescent="0.2">
      <c r="A141" s="238" t="s">
        <v>1397</v>
      </c>
      <c r="B141" s="238"/>
      <c r="C141" s="238"/>
      <c r="D141" s="215"/>
      <c r="E141" s="50">
        <f>SUM(E132:E140)</f>
        <v>162.90799999999999</v>
      </c>
    </row>
    <row r="142" spans="1:5" ht="15" customHeight="1" x14ac:dyDescent="0.2">
      <c r="A142" s="238" t="s">
        <v>1398</v>
      </c>
      <c r="B142" s="238"/>
      <c r="C142" s="238"/>
      <c r="D142" s="215"/>
      <c r="E142" s="50">
        <v>162.91</v>
      </c>
    </row>
    <row r="143" spans="1:5" ht="15" customHeight="1" x14ac:dyDescent="0.2">
      <c r="A143" s="235" t="s">
        <v>1399</v>
      </c>
      <c r="B143" s="235"/>
      <c r="C143" s="235"/>
      <c r="D143" s="217"/>
      <c r="E143" s="98">
        <v>160.16999999999999</v>
      </c>
    </row>
    <row r="144" spans="1:5" ht="15" customHeight="1" x14ac:dyDescent="0.2">
      <c r="A144" s="236" t="s">
        <v>1400</v>
      </c>
      <c r="B144" s="236"/>
      <c r="C144" s="236"/>
      <c r="D144" s="219"/>
      <c r="E144" s="97">
        <f>E141-E143</f>
        <v>2.7379999999999995</v>
      </c>
    </row>
    <row r="145" spans="1:5" x14ac:dyDescent="0.2">
      <c r="A145" s="65"/>
      <c r="B145" s="46"/>
      <c r="C145" s="46"/>
      <c r="D145" s="46"/>
      <c r="E145" s="66"/>
    </row>
  </sheetData>
  <mergeCells count="52">
    <mergeCell ref="A97:D97"/>
    <mergeCell ref="A98:D98"/>
    <mergeCell ref="A33:D33"/>
    <mergeCell ref="A8:E8"/>
    <mergeCell ref="B10:E10"/>
    <mergeCell ref="B11:E11"/>
    <mergeCell ref="B12:E12"/>
    <mergeCell ref="B13:E13"/>
    <mergeCell ref="A14:B14"/>
    <mergeCell ref="A20:D20"/>
    <mergeCell ref="A21:D21"/>
    <mergeCell ref="A22:D22"/>
    <mergeCell ref="A23:D23"/>
    <mergeCell ref="B25:E25"/>
    <mergeCell ref="A63:D63"/>
    <mergeCell ref="A34:D34"/>
    <mergeCell ref="A35:D35"/>
    <mergeCell ref="A36:D36"/>
    <mergeCell ref="B38:E38"/>
    <mergeCell ref="B39:E39"/>
    <mergeCell ref="A52:D52"/>
    <mergeCell ref="A53:D53"/>
    <mergeCell ref="A54:D54"/>
    <mergeCell ref="A55:D55"/>
    <mergeCell ref="B57:E57"/>
    <mergeCell ref="A58:D58"/>
    <mergeCell ref="B100:E100"/>
    <mergeCell ref="A64:D64"/>
    <mergeCell ref="A65:D65"/>
    <mergeCell ref="A66:D66"/>
    <mergeCell ref="A67:D67"/>
    <mergeCell ref="A68:D68"/>
    <mergeCell ref="B70:E70"/>
    <mergeCell ref="A85:D85"/>
    <mergeCell ref="A86:D86"/>
    <mergeCell ref="A87:D87"/>
    <mergeCell ref="A88:D88"/>
    <mergeCell ref="A89:D89"/>
    <mergeCell ref="B91:E91"/>
    <mergeCell ref="A92:D92"/>
    <mergeCell ref="A95:D95"/>
    <mergeCell ref="A96:D96"/>
    <mergeCell ref="A141:D141"/>
    <mergeCell ref="A142:D142"/>
    <mergeCell ref="A143:D143"/>
    <mergeCell ref="A144:D144"/>
    <mergeCell ref="A125:D125"/>
    <mergeCell ref="A126:D126"/>
    <mergeCell ref="A127:D127"/>
    <mergeCell ref="A128:D128"/>
    <mergeCell ref="B130:E130"/>
    <mergeCell ref="A131:B131"/>
  </mergeCells>
  <printOptions horizontalCentered="1"/>
  <pageMargins left="0.51181102362204722" right="0.51181102362204722" top="0.78740157480314965" bottom="0.78740157480314965" header="0.31496062992125984" footer="0.31496062992125984"/>
  <pageSetup paperSize="9" scale="90" orientation="portrait" verticalDpi="360"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847A7-E640-4F40-9CA7-33153C7DC154}">
  <sheetPr>
    <tabColor theme="4"/>
  </sheetPr>
  <dimension ref="A1:F64"/>
  <sheetViews>
    <sheetView view="pageBreakPreview" topLeftCell="A22" zoomScale="90" zoomScaleNormal="95" zoomScaleSheetLayoutView="90" workbookViewId="0">
      <selection activeCell="B12" sqref="B12:F12"/>
    </sheetView>
  </sheetViews>
  <sheetFormatPr defaultColWidth="9" defaultRowHeight="12.75" x14ac:dyDescent="0.2"/>
  <cols>
    <col min="1" max="1" width="15.75" style="35" customWidth="1"/>
    <col min="2" max="2" width="13.25" style="35" customWidth="1"/>
    <col min="3" max="3" width="15.625" style="35" customWidth="1"/>
    <col min="4" max="4" width="14" style="35" customWidth="1"/>
    <col min="5" max="5" width="13.75" style="35" customWidth="1"/>
    <col min="6" max="6" width="13.375" style="42" customWidth="1"/>
    <col min="7" max="16384" width="9" style="33"/>
  </cols>
  <sheetData>
    <row r="1" spans="1:6" x14ac:dyDescent="0.2">
      <c r="A1" s="30"/>
      <c r="B1" s="31"/>
      <c r="C1" s="31"/>
      <c r="D1" s="31"/>
      <c r="E1" s="31"/>
      <c r="F1" s="32"/>
    </row>
    <row r="2" spans="1:6" x14ac:dyDescent="0.2">
      <c r="A2" s="34"/>
      <c r="F2" s="36"/>
    </row>
    <row r="3" spans="1:6" x14ac:dyDescent="0.2">
      <c r="A3" s="34"/>
      <c r="F3" s="36"/>
    </row>
    <row r="4" spans="1:6" x14ac:dyDescent="0.2">
      <c r="A4" s="34"/>
      <c r="F4" s="36"/>
    </row>
    <row r="5" spans="1:6" x14ac:dyDescent="0.2">
      <c r="A5" s="37"/>
      <c r="B5" s="38"/>
      <c r="C5" s="38"/>
      <c r="D5" s="39"/>
      <c r="E5" s="39"/>
      <c r="F5" s="40"/>
    </row>
    <row r="6" spans="1:6" x14ac:dyDescent="0.2">
      <c r="A6" s="37" t="s">
        <v>820</v>
      </c>
      <c r="B6" s="38"/>
      <c r="C6" s="38"/>
      <c r="D6" s="39"/>
      <c r="E6" s="39"/>
      <c r="F6" s="40"/>
    </row>
    <row r="7" spans="1:6" x14ac:dyDescent="0.2">
      <c r="A7" s="37" t="s">
        <v>2</v>
      </c>
      <c r="B7" s="38"/>
      <c r="C7" s="38"/>
      <c r="D7" s="39"/>
      <c r="E7" s="39"/>
      <c r="F7" s="40"/>
    </row>
    <row r="8" spans="1:6" x14ac:dyDescent="0.2">
      <c r="A8" s="37" t="s">
        <v>1313</v>
      </c>
      <c r="B8" s="38"/>
      <c r="C8" s="38"/>
      <c r="D8" s="39"/>
      <c r="E8" s="39"/>
      <c r="F8" s="40"/>
    </row>
    <row r="9" spans="1:6" ht="13.5" thickBot="1" x14ac:dyDescent="0.25">
      <c r="A9" s="41"/>
      <c r="B9" s="42"/>
      <c r="C9" s="42"/>
      <c r="D9" s="42"/>
      <c r="E9" s="42"/>
      <c r="F9" s="36"/>
    </row>
    <row r="10" spans="1:6" s="43" customFormat="1" ht="21" customHeight="1" thickBot="1" x14ac:dyDescent="0.25">
      <c r="A10" s="248" t="s">
        <v>1314</v>
      </c>
      <c r="B10" s="249"/>
      <c r="C10" s="249"/>
      <c r="D10" s="249"/>
      <c r="E10" s="249"/>
      <c r="F10" s="250"/>
    </row>
    <row r="11" spans="1:6" x14ac:dyDescent="0.2">
      <c r="A11" s="34"/>
      <c r="F11" s="36"/>
    </row>
    <row r="12" spans="1:6" ht="17.25" customHeight="1" x14ac:dyDescent="0.2">
      <c r="A12" s="44" t="s">
        <v>828</v>
      </c>
      <c r="B12" s="243" t="s">
        <v>133</v>
      </c>
      <c r="C12" s="244"/>
      <c r="D12" s="244"/>
      <c r="E12" s="244"/>
      <c r="F12" s="245"/>
    </row>
    <row r="13" spans="1:6" s="43" customFormat="1" ht="41.25" customHeight="1" x14ac:dyDescent="0.2">
      <c r="A13" s="45" t="s">
        <v>1407</v>
      </c>
      <c r="B13" s="225" t="s">
        <v>137</v>
      </c>
      <c r="C13" s="226"/>
      <c r="D13" s="226"/>
      <c r="E13" s="226"/>
      <c r="F13" s="227"/>
    </row>
    <row r="14" spans="1:6" s="47" customFormat="1" ht="14.25" customHeight="1" x14ac:dyDescent="0.2">
      <c r="A14" s="253" t="s">
        <v>821</v>
      </c>
      <c r="B14" s="254"/>
      <c r="C14" s="254" t="s">
        <v>822</v>
      </c>
      <c r="D14" s="254"/>
      <c r="E14" s="49"/>
      <c r="F14" s="51" t="s">
        <v>908</v>
      </c>
    </row>
    <row r="15" spans="1:6" s="47" customFormat="1" ht="14.25" customHeight="1" x14ac:dyDescent="0.2">
      <c r="A15" s="85" t="s">
        <v>1613</v>
      </c>
      <c r="B15" s="86"/>
      <c r="C15" s="259">
        <v>1265.8599999999999</v>
      </c>
      <c r="D15" s="259"/>
      <c r="E15" s="54"/>
      <c r="F15" s="76">
        <f>C15-E15</f>
        <v>1265.8599999999999</v>
      </c>
    </row>
    <row r="16" spans="1:6" s="47" customFormat="1" ht="14.25" customHeight="1" x14ac:dyDescent="0.2">
      <c r="A16" s="85"/>
      <c r="B16" s="86"/>
      <c r="C16" s="259"/>
      <c r="D16" s="259"/>
      <c r="E16" s="54"/>
      <c r="F16" s="76"/>
    </row>
    <row r="17" spans="1:6" s="53" customFormat="1" ht="15" customHeight="1" x14ac:dyDescent="0.2">
      <c r="A17" s="210" t="s">
        <v>1430</v>
      </c>
      <c r="B17" s="211"/>
      <c r="C17" s="211"/>
      <c r="D17" s="211"/>
      <c r="E17" s="211"/>
      <c r="F17" s="73">
        <f>SUM(F15:F16)</f>
        <v>1265.8599999999999</v>
      </c>
    </row>
    <row r="18" spans="1:6" s="43" customFormat="1" ht="14.25" customHeight="1" x14ac:dyDescent="0.2">
      <c r="A18" s="210" t="s">
        <v>1429</v>
      </c>
      <c r="B18" s="211"/>
      <c r="C18" s="211"/>
      <c r="D18" s="211"/>
      <c r="E18" s="211"/>
      <c r="F18" s="50">
        <v>1582.23</v>
      </c>
    </row>
    <row r="19" spans="1:6" s="43" customFormat="1" ht="16.5" customHeight="1" x14ac:dyDescent="0.2">
      <c r="A19" s="257" t="s">
        <v>1431</v>
      </c>
      <c r="B19" s="258"/>
      <c r="C19" s="258"/>
      <c r="D19" s="258"/>
      <c r="E19" s="258"/>
      <c r="F19" s="162">
        <v>0</v>
      </c>
    </row>
    <row r="20" spans="1:6" s="43" customFormat="1" ht="16.5" customHeight="1" x14ac:dyDescent="0.2">
      <c r="A20" s="212" t="s">
        <v>1432</v>
      </c>
      <c r="B20" s="213"/>
      <c r="C20" s="213"/>
      <c r="D20" s="213"/>
      <c r="E20" s="213"/>
      <c r="F20" s="72">
        <f>F17</f>
        <v>1265.8599999999999</v>
      </c>
    </row>
    <row r="22" spans="1:6" s="43" customFormat="1" ht="41.25" customHeight="1" x14ac:dyDescent="0.2">
      <c r="A22" s="45" t="s">
        <v>1550</v>
      </c>
      <c r="B22" s="225" t="s">
        <v>139</v>
      </c>
      <c r="C22" s="226"/>
      <c r="D22" s="226"/>
      <c r="E22" s="226"/>
      <c r="F22" s="227"/>
    </row>
    <row r="23" spans="1:6" s="47" customFormat="1" ht="14.25" customHeight="1" x14ac:dyDescent="0.2">
      <c r="A23" s="253" t="s">
        <v>821</v>
      </c>
      <c r="B23" s="254"/>
      <c r="C23" s="254" t="s">
        <v>822</v>
      </c>
      <c r="D23" s="254"/>
      <c r="E23" s="49"/>
      <c r="F23" s="51" t="s">
        <v>908</v>
      </c>
    </row>
    <row r="24" spans="1:6" s="47" customFormat="1" ht="14.25" customHeight="1" x14ac:dyDescent="0.2">
      <c r="A24" s="85" t="s">
        <v>1551</v>
      </c>
      <c r="B24" s="86"/>
      <c r="C24" s="259">
        <v>30</v>
      </c>
      <c r="D24" s="259"/>
      <c r="E24" s="54"/>
      <c r="F24" s="76">
        <f>C24-E24</f>
        <v>30</v>
      </c>
    </row>
    <row r="25" spans="1:6" s="47" customFormat="1" ht="14.25" customHeight="1" x14ac:dyDescent="0.2">
      <c r="A25" s="85"/>
      <c r="B25" s="86"/>
      <c r="C25" s="259"/>
      <c r="D25" s="259"/>
      <c r="E25" s="54"/>
      <c r="F25" s="76"/>
    </row>
    <row r="26" spans="1:6" s="53" customFormat="1" ht="15" customHeight="1" x14ac:dyDescent="0.2">
      <c r="A26" s="210" t="s">
        <v>1552</v>
      </c>
      <c r="B26" s="211"/>
      <c r="C26" s="211"/>
      <c r="D26" s="211"/>
      <c r="E26" s="211"/>
      <c r="F26" s="73">
        <f>SUM(F24:F25)</f>
        <v>30</v>
      </c>
    </row>
    <row r="27" spans="1:6" s="43" customFormat="1" ht="14.25" customHeight="1" x14ac:dyDescent="0.2">
      <c r="A27" s="210" t="s">
        <v>1555</v>
      </c>
      <c r="B27" s="211"/>
      <c r="C27" s="211"/>
      <c r="D27" s="211"/>
      <c r="E27" s="211"/>
      <c r="F27" s="50">
        <v>69.7</v>
      </c>
    </row>
    <row r="28" spans="1:6" s="43" customFormat="1" ht="16.5" customHeight="1" x14ac:dyDescent="0.2">
      <c r="A28" s="257" t="s">
        <v>1556</v>
      </c>
      <c r="B28" s="258"/>
      <c r="C28" s="258"/>
      <c r="D28" s="258"/>
      <c r="E28" s="258"/>
      <c r="F28" s="162">
        <v>0</v>
      </c>
    </row>
    <row r="29" spans="1:6" s="43" customFormat="1" ht="16.5" customHeight="1" x14ac:dyDescent="0.2">
      <c r="A29" s="212" t="s">
        <v>1557</v>
      </c>
      <c r="B29" s="213"/>
      <c r="C29" s="213"/>
      <c r="D29" s="213"/>
      <c r="E29" s="213"/>
      <c r="F29" s="72">
        <f>F26</f>
        <v>30</v>
      </c>
    </row>
    <row r="31" spans="1:6" s="43" customFormat="1" ht="39.75" customHeight="1" x14ac:dyDescent="0.2">
      <c r="A31" s="45" t="s">
        <v>907</v>
      </c>
      <c r="B31" s="225" t="s">
        <v>141</v>
      </c>
      <c r="C31" s="226"/>
      <c r="D31" s="226"/>
      <c r="E31" s="226"/>
      <c r="F31" s="227"/>
    </row>
    <row r="32" spans="1:6" s="47" customFormat="1" ht="14.25" customHeight="1" x14ac:dyDescent="0.2">
      <c r="A32" s="48" t="s">
        <v>821</v>
      </c>
      <c r="B32" s="49"/>
      <c r="C32" s="49" t="s">
        <v>824</v>
      </c>
      <c r="D32" s="49" t="s">
        <v>823</v>
      </c>
      <c r="E32" s="49" t="s">
        <v>1414</v>
      </c>
      <c r="F32" s="51" t="s">
        <v>908</v>
      </c>
    </row>
    <row r="33" spans="1:6" s="47" customFormat="1" ht="14.25" customHeight="1" x14ac:dyDescent="0.2">
      <c r="A33" s="85" t="s">
        <v>1304</v>
      </c>
      <c r="B33" s="86"/>
      <c r="C33" s="54">
        <f>23.95+8.8+23.95</f>
        <v>56.7</v>
      </c>
      <c r="D33" s="54">
        <v>0.95</v>
      </c>
      <c r="E33" s="54">
        <v>0</v>
      </c>
      <c r="F33" s="76">
        <f>(C33*D33)-E33</f>
        <v>53.865000000000002</v>
      </c>
    </row>
    <row r="34" spans="1:6" s="47" customFormat="1" ht="14.25" customHeight="1" x14ac:dyDescent="0.2">
      <c r="A34" s="85" t="s">
        <v>1415</v>
      </c>
      <c r="B34" s="86"/>
      <c r="C34" s="54">
        <f>24.28+24.28+9+7.7</f>
        <v>65.260000000000005</v>
      </c>
      <c r="D34" s="54">
        <v>0.4</v>
      </c>
      <c r="E34" s="54">
        <v>0</v>
      </c>
      <c r="F34" s="76">
        <f>(C34*D34)-E34</f>
        <v>26.104000000000003</v>
      </c>
    </row>
    <row r="35" spans="1:6" s="47" customFormat="1" ht="14.25" customHeight="1" x14ac:dyDescent="0.2">
      <c r="A35" s="85" t="s">
        <v>1421</v>
      </c>
      <c r="B35" s="86"/>
      <c r="C35" s="54">
        <f>2.68+13.6</f>
        <v>16.28</v>
      </c>
      <c r="D35" s="54">
        <v>0.5</v>
      </c>
      <c r="E35" s="54">
        <v>0</v>
      </c>
      <c r="F35" s="76">
        <f t="shared" ref="F35:F50" si="0">(C35*D35)-E35</f>
        <v>8.14</v>
      </c>
    </row>
    <row r="36" spans="1:6" s="47" customFormat="1" ht="14.25" customHeight="1" x14ac:dyDescent="0.2">
      <c r="A36" s="264" t="s">
        <v>1422</v>
      </c>
      <c r="B36" s="265"/>
      <c r="C36" s="54">
        <v>12.22</v>
      </c>
      <c r="D36" s="54">
        <v>0.4</v>
      </c>
      <c r="E36" s="54">
        <v>0</v>
      </c>
      <c r="F36" s="76">
        <f t="shared" si="0"/>
        <v>4.8880000000000008</v>
      </c>
    </row>
    <row r="37" spans="1:6" s="47" customFormat="1" ht="14.25" customHeight="1" x14ac:dyDescent="0.2">
      <c r="A37" s="266"/>
      <c r="B37" s="267"/>
      <c r="C37" s="54">
        <v>23.16</v>
      </c>
      <c r="D37" s="54">
        <v>0.3</v>
      </c>
      <c r="E37" s="54">
        <v>0</v>
      </c>
      <c r="F37" s="76">
        <f t="shared" si="0"/>
        <v>6.9479999999999995</v>
      </c>
    </row>
    <row r="38" spans="1:6" s="47" customFormat="1" ht="14.25" customHeight="1" x14ac:dyDescent="0.2">
      <c r="A38" s="266"/>
      <c r="B38" s="267"/>
      <c r="C38" s="54">
        <v>5.0999999999999996</v>
      </c>
      <c r="D38" s="54">
        <v>0.4</v>
      </c>
      <c r="E38" s="54">
        <v>0</v>
      </c>
      <c r="F38" s="76">
        <f t="shared" si="0"/>
        <v>2.04</v>
      </c>
    </row>
    <row r="39" spans="1:6" s="47" customFormat="1" ht="14.25" customHeight="1" x14ac:dyDescent="0.2">
      <c r="A39" s="266"/>
      <c r="B39" s="267"/>
      <c r="C39" s="54">
        <v>17.7</v>
      </c>
      <c r="D39" s="54">
        <v>0.35</v>
      </c>
      <c r="E39" s="54">
        <v>0</v>
      </c>
      <c r="F39" s="76">
        <f t="shared" si="0"/>
        <v>6.1949999999999994</v>
      </c>
    </row>
    <row r="40" spans="1:6" s="47" customFormat="1" ht="14.25" customHeight="1" x14ac:dyDescent="0.2">
      <c r="A40" s="268"/>
      <c r="B40" s="269"/>
      <c r="C40" s="54">
        <v>19</v>
      </c>
      <c r="D40" s="54">
        <v>0.5</v>
      </c>
      <c r="E40" s="54">
        <v>0</v>
      </c>
      <c r="F40" s="76">
        <f t="shared" si="0"/>
        <v>9.5</v>
      </c>
    </row>
    <row r="41" spans="1:6" s="47" customFormat="1" ht="30" customHeight="1" x14ac:dyDescent="0.2">
      <c r="A41" s="262" t="s">
        <v>1423</v>
      </c>
      <c r="B41" s="263"/>
      <c r="C41" s="161">
        <f>(1.6*2)+(1*2)</f>
        <v>5.2</v>
      </c>
      <c r="D41" s="161">
        <v>1.7</v>
      </c>
      <c r="E41" s="161">
        <v>0</v>
      </c>
      <c r="F41" s="73">
        <f t="shared" si="0"/>
        <v>8.84</v>
      </c>
    </row>
    <row r="42" spans="1:6" s="47" customFormat="1" ht="14.25" customHeight="1" x14ac:dyDescent="0.2">
      <c r="A42" s="85" t="s">
        <v>1424</v>
      </c>
      <c r="B42" s="86"/>
      <c r="C42" s="54">
        <v>125</v>
      </c>
      <c r="D42" s="54">
        <v>0.2</v>
      </c>
      <c r="E42" s="54">
        <v>0</v>
      </c>
      <c r="F42" s="76">
        <f t="shared" si="0"/>
        <v>25</v>
      </c>
    </row>
    <row r="43" spans="1:6" s="47" customFormat="1" ht="14.25" customHeight="1" x14ac:dyDescent="0.2">
      <c r="A43" s="85" t="s">
        <v>1425</v>
      </c>
      <c r="B43" s="86"/>
      <c r="C43" s="54">
        <v>4</v>
      </c>
      <c r="D43" s="54">
        <v>0.2</v>
      </c>
      <c r="E43" s="54">
        <v>0</v>
      </c>
      <c r="F43" s="76">
        <f t="shared" si="0"/>
        <v>0.8</v>
      </c>
    </row>
    <row r="44" spans="1:6" s="53" customFormat="1" ht="30" customHeight="1" x14ac:dyDescent="0.2">
      <c r="A44" s="262" t="s">
        <v>1426</v>
      </c>
      <c r="B44" s="263"/>
      <c r="C44" s="161">
        <f>15+36.89</f>
        <v>51.89</v>
      </c>
      <c r="D44" s="161">
        <v>0.5</v>
      </c>
      <c r="E44" s="161">
        <v>0</v>
      </c>
      <c r="F44" s="73">
        <f t="shared" si="0"/>
        <v>25.945</v>
      </c>
    </row>
    <row r="45" spans="1:6" s="47" customFormat="1" ht="15.75" customHeight="1" x14ac:dyDescent="0.2">
      <c r="A45" s="264" t="s">
        <v>1427</v>
      </c>
      <c r="B45" s="265"/>
      <c r="C45" s="161">
        <f>10.9+2.78+1.22+0.7+1.04+6.8+0.33+1.81+1.37+1.41+15.01+10.9+2.3+5.74+1.51+8.65+1.08+1.2+19.98+0.9+0.9+2.3</f>
        <v>98.830000000000013</v>
      </c>
      <c r="D45" s="161">
        <v>0.5</v>
      </c>
      <c r="E45" s="161">
        <v>0</v>
      </c>
      <c r="F45" s="76">
        <f t="shared" si="0"/>
        <v>49.415000000000006</v>
      </c>
    </row>
    <row r="46" spans="1:6" s="47" customFormat="1" ht="15.75" customHeight="1" x14ac:dyDescent="0.2">
      <c r="A46" s="266"/>
      <c r="B46" s="267"/>
      <c r="C46" s="161">
        <f>10.7+0.9+0.9</f>
        <v>12.5</v>
      </c>
      <c r="D46" s="161">
        <v>0.4</v>
      </c>
      <c r="E46" s="161">
        <v>0</v>
      </c>
      <c r="F46" s="73">
        <f t="shared" si="0"/>
        <v>5</v>
      </c>
    </row>
    <row r="47" spans="1:6" s="47" customFormat="1" ht="15.75" customHeight="1" x14ac:dyDescent="0.2">
      <c r="A47" s="268"/>
      <c r="B47" s="269"/>
      <c r="C47" s="161">
        <f>(5.17+5.17+1.5)*4</f>
        <v>47.36</v>
      </c>
      <c r="D47" s="161">
        <v>0.1</v>
      </c>
      <c r="E47" s="161">
        <v>0</v>
      </c>
      <c r="F47" s="73">
        <f t="shared" si="0"/>
        <v>4.7359999999999998</v>
      </c>
    </row>
    <row r="48" spans="1:6" s="53" customFormat="1" ht="15.75" customHeight="1" x14ac:dyDescent="0.2">
      <c r="A48" s="264" t="s">
        <v>1428</v>
      </c>
      <c r="B48" s="265"/>
      <c r="C48" s="161">
        <v>24.38</v>
      </c>
      <c r="D48" s="161">
        <f>1.3/2</f>
        <v>0.65</v>
      </c>
      <c r="E48" s="161">
        <v>0</v>
      </c>
      <c r="F48" s="73">
        <f t="shared" si="0"/>
        <v>15.847</v>
      </c>
    </row>
    <row r="49" spans="1:6" s="53" customFormat="1" ht="15.75" customHeight="1" x14ac:dyDescent="0.2">
      <c r="A49" s="266"/>
      <c r="B49" s="267"/>
      <c r="C49" s="161">
        <v>24.38</v>
      </c>
      <c r="D49" s="161">
        <v>0.65</v>
      </c>
      <c r="E49" s="161">
        <v>0</v>
      </c>
      <c r="F49" s="73">
        <f t="shared" si="0"/>
        <v>15.847</v>
      </c>
    </row>
    <row r="50" spans="1:6" s="53" customFormat="1" ht="15.75" customHeight="1" x14ac:dyDescent="0.2">
      <c r="A50" s="268"/>
      <c r="B50" s="269"/>
      <c r="C50" s="161">
        <f>1.68*6</f>
        <v>10.08</v>
      </c>
      <c r="D50" s="161">
        <f>1.3/2</f>
        <v>0.65</v>
      </c>
      <c r="E50" s="161">
        <v>0</v>
      </c>
      <c r="F50" s="73">
        <f t="shared" si="0"/>
        <v>6.5520000000000005</v>
      </c>
    </row>
    <row r="51" spans="1:6" s="53" customFormat="1" ht="16.5" customHeight="1" x14ac:dyDescent="0.2">
      <c r="A51" s="210" t="s">
        <v>1416</v>
      </c>
      <c r="B51" s="211"/>
      <c r="C51" s="211"/>
      <c r="D51" s="211"/>
      <c r="E51" s="211"/>
      <c r="F51" s="73">
        <f>SUM(F33:F50)</f>
        <v>275.66200000000003</v>
      </c>
    </row>
    <row r="52" spans="1:6" s="43" customFormat="1" ht="14.25" customHeight="1" x14ac:dyDescent="0.2">
      <c r="A52" s="210" t="s">
        <v>1417</v>
      </c>
      <c r="B52" s="211"/>
      <c r="C52" s="211"/>
      <c r="D52" s="211"/>
      <c r="E52" s="211"/>
      <c r="F52" s="50">
        <v>254.7</v>
      </c>
    </row>
    <row r="53" spans="1:6" s="43" customFormat="1" ht="14.25" customHeight="1" x14ac:dyDescent="0.2">
      <c r="A53" s="210" t="s">
        <v>1418</v>
      </c>
      <c r="B53" s="211"/>
      <c r="C53" s="211"/>
      <c r="D53" s="211"/>
      <c r="E53" s="211"/>
      <c r="F53" s="50">
        <v>237.41</v>
      </c>
    </row>
    <row r="54" spans="1:6" s="43" customFormat="1" ht="16.5" customHeight="1" x14ac:dyDescent="0.2">
      <c r="A54" s="212" t="s">
        <v>1419</v>
      </c>
      <c r="B54" s="213"/>
      <c r="C54" s="213"/>
      <c r="D54" s="213"/>
      <c r="E54" s="213"/>
      <c r="F54" s="72">
        <f>F52-F53</f>
        <v>17.289999999999992</v>
      </c>
    </row>
    <row r="55" spans="1:6" s="43" customFormat="1" ht="15.75" customHeight="1" x14ac:dyDescent="0.2">
      <c r="A55" s="241" t="s">
        <v>1420</v>
      </c>
      <c r="B55" s="242"/>
      <c r="C55" s="242"/>
      <c r="D55" s="242"/>
      <c r="E55" s="242"/>
      <c r="F55" s="92">
        <f>F52-F51</f>
        <v>-20.962000000000046</v>
      </c>
    </row>
    <row r="56" spans="1:6" ht="14.25" customHeight="1" x14ac:dyDescent="0.2">
      <c r="A56" s="260"/>
      <c r="B56" s="261"/>
      <c r="C56" s="261"/>
      <c r="D56" s="99"/>
      <c r="E56" s="99"/>
      <c r="F56" s="100"/>
    </row>
    <row r="57" spans="1:6" s="43" customFormat="1" ht="25.5" customHeight="1" x14ac:dyDescent="0.2">
      <c r="A57" s="45" t="s">
        <v>1553</v>
      </c>
      <c r="B57" s="225" t="s">
        <v>143</v>
      </c>
      <c r="C57" s="226"/>
      <c r="D57" s="226"/>
      <c r="E57" s="226"/>
      <c r="F57" s="227"/>
    </row>
    <row r="58" spans="1:6" s="47" customFormat="1" ht="14.25" customHeight="1" x14ac:dyDescent="0.2">
      <c r="A58" s="253" t="s">
        <v>821</v>
      </c>
      <c r="B58" s="254"/>
      <c r="C58" s="254" t="s">
        <v>822</v>
      </c>
      <c r="D58" s="254"/>
      <c r="E58" s="49"/>
      <c r="F58" s="51" t="s">
        <v>908</v>
      </c>
    </row>
    <row r="59" spans="1:6" s="47" customFormat="1" ht="14.25" customHeight="1" x14ac:dyDescent="0.2">
      <c r="A59" s="85" t="s">
        <v>1021</v>
      </c>
      <c r="B59" s="86"/>
      <c r="C59" s="259">
        <v>75</v>
      </c>
      <c r="D59" s="259"/>
      <c r="E59" s="54"/>
      <c r="F59" s="76">
        <f>C59-E59</f>
        <v>75</v>
      </c>
    </row>
    <row r="60" spans="1:6" s="47" customFormat="1" ht="14.25" customHeight="1" x14ac:dyDescent="0.2">
      <c r="A60" s="85"/>
      <c r="B60" s="86"/>
      <c r="C60" s="259"/>
      <c r="D60" s="259"/>
      <c r="E60" s="54"/>
      <c r="F60" s="76"/>
    </row>
    <row r="61" spans="1:6" s="53" customFormat="1" ht="15" customHeight="1" x14ac:dyDescent="0.2">
      <c r="A61" s="210" t="s">
        <v>1554</v>
      </c>
      <c r="B61" s="211"/>
      <c r="C61" s="211"/>
      <c r="D61" s="211"/>
      <c r="E61" s="211"/>
      <c r="F61" s="73">
        <f>SUM(F59:F60)</f>
        <v>75</v>
      </c>
    </row>
    <row r="62" spans="1:6" s="43" customFormat="1" ht="14.25" customHeight="1" x14ac:dyDescent="0.2">
      <c r="A62" s="210" t="s">
        <v>1558</v>
      </c>
      <c r="B62" s="211"/>
      <c r="C62" s="211"/>
      <c r="D62" s="211"/>
      <c r="E62" s="211"/>
      <c r="F62" s="50">
        <v>182.58</v>
      </c>
    </row>
    <row r="63" spans="1:6" s="43" customFormat="1" ht="16.5" customHeight="1" x14ac:dyDescent="0.2">
      <c r="A63" s="257" t="s">
        <v>1559</v>
      </c>
      <c r="B63" s="258"/>
      <c r="C63" s="258"/>
      <c r="D63" s="258"/>
      <c r="E63" s="258"/>
      <c r="F63" s="162">
        <v>0</v>
      </c>
    </row>
    <row r="64" spans="1:6" s="43" customFormat="1" ht="16.5" customHeight="1" x14ac:dyDescent="0.2">
      <c r="A64" s="212" t="s">
        <v>1560</v>
      </c>
      <c r="B64" s="213"/>
      <c r="C64" s="213"/>
      <c r="D64" s="213"/>
      <c r="E64" s="213"/>
      <c r="F64" s="72">
        <f>F61</f>
        <v>75</v>
      </c>
    </row>
  </sheetData>
  <mergeCells count="41">
    <mergeCell ref="A10:F10"/>
    <mergeCell ref="B12:F12"/>
    <mergeCell ref="A20:E20"/>
    <mergeCell ref="A54:E54"/>
    <mergeCell ref="A55:E55"/>
    <mergeCell ref="A18:E18"/>
    <mergeCell ref="A19:E19"/>
    <mergeCell ref="B22:F22"/>
    <mergeCell ref="A23:B23"/>
    <mergeCell ref="C23:D23"/>
    <mergeCell ref="C24:D24"/>
    <mergeCell ref="C25:D25"/>
    <mergeCell ref="A26:E26"/>
    <mergeCell ref="A27:E27"/>
    <mergeCell ref="A28:E28"/>
    <mergeCell ref="A29:E29"/>
    <mergeCell ref="A56:C56"/>
    <mergeCell ref="B13:F13"/>
    <mergeCell ref="A14:B14"/>
    <mergeCell ref="C14:D14"/>
    <mergeCell ref="A44:B44"/>
    <mergeCell ref="A45:B47"/>
    <mergeCell ref="A48:B50"/>
    <mergeCell ref="A51:E51"/>
    <mergeCell ref="A52:E52"/>
    <mergeCell ref="A53:E53"/>
    <mergeCell ref="B31:F31"/>
    <mergeCell ref="A36:B40"/>
    <mergeCell ref="A41:B41"/>
    <mergeCell ref="C15:D15"/>
    <mergeCell ref="C16:D16"/>
    <mergeCell ref="A17:E17"/>
    <mergeCell ref="A61:E61"/>
    <mergeCell ref="A62:E62"/>
    <mergeCell ref="A63:E63"/>
    <mergeCell ref="A64:E64"/>
    <mergeCell ref="B57:F57"/>
    <mergeCell ref="A58:B58"/>
    <mergeCell ref="C58:D58"/>
    <mergeCell ref="C59:D59"/>
    <mergeCell ref="C60:D60"/>
  </mergeCells>
  <pageMargins left="0.51181102362204722" right="0.51181102362204722" top="0.78740157480314965" bottom="0.78740157480314965" header="0.31496062992125984" footer="0.31496062992125984"/>
  <pageSetup paperSize="9" scale="86" orientation="portrait" horizontalDpi="360" verticalDpi="360"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497BA-C986-4FB4-A11F-68CD7E0253E6}">
  <sheetPr>
    <tabColor theme="4"/>
  </sheetPr>
  <dimension ref="A6:F119"/>
  <sheetViews>
    <sheetView view="pageBreakPreview" zoomScale="90" zoomScaleNormal="95" zoomScaleSheetLayoutView="90" workbookViewId="0">
      <selection activeCell="G105" sqref="G105"/>
    </sheetView>
  </sheetViews>
  <sheetFormatPr defaultColWidth="9" defaultRowHeight="12.75" x14ac:dyDescent="0.2"/>
  <cols>
    <col min="1" max="1" width="14.625" style="35" customWidth="1"/>
    <col min="2" max="2" width="17.625" style="35" customWidth="1"/>
    <col min="3" max="3" width="21.875" style="35" customWidth="1"/>
    <col min="4" max="4" width="15.5" style="35" customWidth="1"/>
    <col min="5" max="5" width="12.625" style="42" customWidth="1"/>
    <col min="6" max="8" width="9" style="33"/>
    <col min="9" max="9" width="23" style="33" customWidth="1"/>
    <col min="10" max="16384" width="9" style="33"/>
  </cols>
  <sheetData>
    <row r="6" spans="1:5" x14ac:dyDescent="0.2">
      <c r="A6" s="38" t="s">
        <v>820</v>
      </c>
      <c r="B6" s="38"/>
      <c r="C6" s="39"/>
      <c r="D6" s="39"/>
      <c r="E6" s="58"/>
    </row>
    <row r="7" spans="1:5" x14ac:dyDescent="0.2">
      <c r="A7" s="38" t="s">
        <v>2</v>
      </c>
      <c r="B7" s="38"/>
      <c r="C7" s="39"/>
      <c r="D7" s="39"/>
      <c r="E7" s="58"/>
    </row>
    <row r="8" spans="1:5" x14ac:dyDescent="0.2">
      <c r="A8" s="38" t="s">
        <v>8</v>
      </c>
      <c r="B8" s="38"/>
      <c r="C8" s="39"/>
      <c r="D8" s="39"/>
      <c r="E8" s="58"/>
    </row>
    <row r="9" spans="1:5" x14ac:dyDescent="0.2">
      <c r="A9" s="37" t="s">
        <v>1313</v>
      </c>
      <c r="B9" s="38"/>
      <c r="C9" s="39"/>
      <c r="D9" s="39"/>
      <c r="E9" s="58"/>
    </row>
    <row r="10" spans="1:5" ht="13.5" thickBot="1" x14ac:dyDescent="0.25">
      <c r="A10" s="59"/>
      <c r="B10" s="59"/>
      <c r="C10" s="59"/>
      <c r="D10" s="59"/>
      <c r="E10" s="59"/>
    </row>
    <row r="11" spans="1:5" s="43" customFormat="1" ht="21" customHeight="1" thickBot="1" x14ac:dyDescent="0.25">
      <c r="A11" s="272" t="s">
        <v>1314</v>
      </c>
      <c r="B11" s="249"/>
      <c r="C11" s="249"/>
      <c r="D11" s="249"/>
      <c r="E11" s="273"/>
    </row>
    <row r="12" spans="1:5" x14ac:dyDescent="0.2">
      <c r="A12" s="34"/>
      <c r="E12" s="36"/>
    </row>
    <row r="13" spans="1:5" ht="17.25" customHeight="1" x14ac:dyDescent="0.2">
      <c r="A13" s="44" t="s">
        <v>1204</v>
      </c>
      <c r="B13" s="221" t="s">
        <v>145</v>
      </c>
      <c r="C13" s="221"/>
      <c r="D13" s="221"/>
      <c r="E13" s="221"/>
    </row>
    <row r="14" spans="1:5" s="43" customFormat="1" ht="39.75" hidden="1" customHeight="1" x14ac:dyDescent="0.2">
      <c r="A14" s="45" t="s">
        <v>937</v>
      </c>
      <c r="B14" s="214" t="s">
        <v>938</v>
      </c>
      <c r="C14" s="214"/>
      <c r="D14" s="214"/>
      <c r="E14" s="214"/>
    </row>
    <row r="15" spans="1:5" s="47" customFormat="1" ht="14.25" hidden="1" customHeight="1" x14ac:dyDescent="0.2">
      <c r="A15" s="222" t="s">
        <v>939</v>
      </c>
      <c r="B15" s="223"/>
      <c r="C15" s="223"/>
      <c r="D15" s="223"/>
      <c r="E15" s="94">
        <v>242755</v>
      </c>
    </row>
    <row r="16" spans="1:5" ht="6.75" hidden="1" customHeight="1" x14ac:dyDescent="0.2">
      <c r="A16" s="246"/>
      <c r="B16" s="247"/>
      <c r="C16" s="52"/>
      <c r="D16" s="52"/>
      <c r="E16" s="89"/>
    </row>
    <row r="17" spans="1:5" ht="14.25" hidden="1" customHeight="1" x14ac:dyDescent="0.2">
      <c r="A17" s="215" t="s">
        <v>940</v>
      </c>
      <c r="B17" s="216"/>
      <c r="C17" s="216"/>
      <c r="D17" s="216"/>
      <c r="E17" s="89">
        <v>244040</v>
      </c>
    </row>
    <row r="18" spans="1:5" ht="14.25" hidden="1" customHeight="1" x14ac:dyDescent="0.2">
      <c r="A18" s="215" t="s">
        <v>1614</v>
      </c>
      <c r="B18" s="216"/>
      <c r="C18" s="216"/>
      <c r="D18" s="216"/>
      <c r="E18" s="89">
        <v>237555.28</v>
      </c>
    </row>
    <row r="19" spans="1:5" ht="14.25" hidden="1" customHeight="1" x14ac:dyDescent="0.2">
      <c r="A19" s="219" t="s">
        <v>1615</v>
      </c>
      <c r="B19" s="220"/>
      <c r="C19" s="220"/>
      <c r="D19" s="220"/>
      <c r="E19" s="90">
        <f>E15-E18</f>
        <v>5199.7200000000012</v>
      </c>
    </row>
    <row r="20" spans="1:5" ht="14.25" hidden="1" customHeight="1" x14ac:dyDescent="0.2">
      <c r="A20" s="246"/>
      <c r="B20" s="247"/>
      <c r="C20" s="52"/>
      <c r="D20" s="52"/>
      <c r="E20" s="62"/>
    </row>
    <row r="21" spans="1:5" s="43" customFormat="1" ht="39.75" hidden="1" customHeight="1" x14ac:dyDescent="0.2">
      <c r="A21" s="45" t="s">
        <v>842</v>
      </c>
      <c r="B21" s="214" t="s">
        <v>1616</v>
      </c>
      <c r="C21" s="214"/>
      <c r="D21" s="214"/>
      <c r="E21" s="214"/>
    </row>
    <row r="22" spans="1:5" s="47" customFormat="1" ht="14.25" hidden="1" customHeight="1" x14ac:dyDescent="0.2">
      <c r="A22" s="253" t="s">
        <v>821</v>
      </c>
      <c r="B22" s="254"/>
      <c r="C22" s="49"/>
      <c r="D22" s="49"/>
      <c r="E22" s="121" t="s">
        <v>1617</v>
      </c>
    </row>
    <row r="23" spans="1:5" ht="14.25" hidden="1" customHeight="1" x14ac:dyDescent="0.2">
      <c r="A23" s="270" t="s">
        <v>1618</v>
      </c>
      <c r="B23" s="271"/>
      <c r="C23" s="95"/>
      <c r="D23" s="95"/>
      <c r="E23" s="121">
        <v>10</v>
      </c>
    </row>
    <row r="24" spans="1:5" ht="14.25" hidden="1" customHeight="1" x14ac:dyDescent="0.2">
      <c r="A24" s="119" t="s">
        <v>1619</v>
      </c>
      <c r="B24" s="167"/>
      <c r="C24" s="95"/>
      <c r="D24" s="95"/>
      <c r="E24" s="121">
        <v>38.5</v>
      </c>
    </row>
    <row r="25" spans="1:5" ht="14.25" hidden="1" customHeight="1" x14ac:dyDescent="0.2">
      <c r="A25" s="119" t="s">
        <v>1620</v>
      </c>
      <c r="B25" s="167"/>
      <c r="C25" s="95"/>
      <c r="D25" s="95"/>
      <c r="E25" s="121">
        <v>77</v>
      </c>
    </row>
    <row r="26" spans="1:5" ht="14.25" hidden="1" customHeight="1" x14ac:dyDescent="0.2">
      <c r="A26" s="119" t="s">
        <v>1621</v>
      </c>
      <c r="B26" s="167"/>
      <c r="C26" s="95"/>
      <c r="D26" s="95"/>
      <c r="E26" s="121">
        <v>28.9</v>
      </c>
    </row>
    <row r="27" spans="1:5" ht="14.25" hidden="1" customHeight="1" x14ac:dyDescent="0.2">
      <c r="A27" s="119" t="s">
        <v>1622</v>
      </c>
      <c r="B27" s="167"/>
      <c r="C27" s="95"/>
      <c r="D27" s="95"/>
      <c r="E27" s="121">
        <v>28</v>
      </c>
    </row>
    <row r="28" spans="1:5" ht="14.25" hidden="1" customHeight="1" x14ac:dyDescent="0.2">
      <c r="A28" s="270" t="s">
        <v>1623</v>
      </c>
      <c r="B28" s="271"/>
      <c r="C28" s="95"/>
      <c r="D28" s="95"/>
      <c r="E28" s="121">
        <f>14+20</f>
        <v>34</v>
      </c>
    </row>
    <row r="29" spans="1:5" ht="14.25" hidden="1" customHeight="1" x14ac:dyDescent="0.2">
      <c r="A29" s="119" t="s">
        <v>1624</v>
      </c>
      <c r="B29" s="167"/>
      <c r="C29" s="95"/>
      <c r="D29" s="95"/>
      <c r="E29" s="121">
        <v>23</v>
      </c>
    </row>
    <row r="30" spans="1:5" ht="14.25" hidden="1" customHeight="1" x14ac:dyDescent="0.2">
      <c r="A30" s="119" t="s">
        <v>1625</v>
      </c>
      <c r="B30" s="167"/>
      <c r="C30" s="95"/>
      <c r="D30" s="95"/>
      <c r="E30" s="121">
        <v>38</v>
      </c>
    </row>
    <row r="31" spans="1:5" ht="14.25" hidden="1" customHeight="1" x14ac:dyDescent="0.2">
      <c r="A31" s="270" t="s">
        <v>1626</v>
      </c>
      <c r="B31" s="271"/>
      <c r="C31" s="95"/>
      <c r="D31" s="95"/>
      <c r="E31" s="121">
        <v>0.8</v>
      </c>
    </row>
    <row r="32" spans="1:5" ht="14.25" hidden="1" customHeight="1" x14ac:dyDescent="0.2">
      <c r="A32" s="270" t="s">
        <v>1627</v>
      </c>
      <c r="B32" s="271"/>
      <c r="C32" s="95"/>
      <c r="D32" s="95"/>
      <c r="E32" s="121">
        <v>2.2000000000000002</v>
      </c>
    </row>
    <row r="33" spans="1:5" ht="14.25" hidden="1" customHeight="1" x14ac:dyDescent="0.2">
      <c r="A33" s="119" t="s">
        <v>1628</v>
      </c>
      <c r="B33" s="167"/>
      <c r="C33" s="95"/>
      <c r="D33" s="95"/>
      <c r="E33" s="121">
        <v>2.2000000000000002</v>
      </c>
    </row>
    <row r="34" spans="1:5" ht="14.25" hidden="1" customHeight="1" x14ac:dyDescent="0.2">
      <c r="A34" s="119" t="s">
        <v>1629</v>
      </c>
      <c r="B34" s="167"/>
      <c r="C34" s="95"/>
      <c r="D34" s="95"/>
      <c r="E34" s="121">
        <v>20.2</v>
      </c>
    </row>
    <row r="35" spans="1:5" ht="14.25" hidden="1" customHeight="1" x14ac:dyDescent="0.2">
      <c r="A35" s="119" t="s">
        <v>1630</v>
      </c>
      <c r="B35" s="167"/>
      <c r="C35" s="95"/>
      <c r="D35" s="95"/>
      <c r="E35" s="121">
        <v>45.5</v>
      </c>
    </row>
    <row r="36" spans="1:5" ht="14.25" hidden="1" customHeight="1" x14ac:dyDescent="0.2">
      <c r="A36" s="119" t="s">
        <v>1631</v>
      </c>
      <c r="B36" s="167"/>
      <c r="C36" s="95"/>
      <c r="D36" s="95"/>
      <c r="E36" s="121">
        <f>49*3</f>
        <v>147</v>
      </c>
    </row>
    <row r="37" spans="1:5" ht="14.25" hidden="1" customHeight="1" x14ac:dyDescent="0.2">
      <c r="A37" s="119" t="s">
        <v>1632</v>
      </c>
      <c r="B37" s="167"/>
      <c r="C37" s="95"/>
      <c r="D37" s="95"/>
      <c r="E37" s="121">
        <v>96</v>
      </c>
    </row>
    <row r="38" spans="1:5" ht="14.25" hidden="1" customHeight="1" x14ac:dyDescent="0.2">
      <c r="A38" s="119" t="s">
        <v>1633</v>
      </c>
      <c r="B38" s="167"/>
      <c r="C38" s="95"/>
      <c r="D38" s="95"/>
      <c r="E38" s="121">
        <f>97/2</f>
        <v>48.5</v>
      </c>
    </row>
    <row r="39" spans="1:5" ht="14.25" hidden="1" customHeight="1" x14ac:dyDescent="0.2">
      <c r="A39" s="119" t="s">
        <v>1634</v>
      </c>
      <c r="B39" s="167"/>
      <c r="C39" s="95"/>
      <c r="D39" s="95"/>
      <c r="E39" s="121">
        <v>99</v>
      </c>
    </row>
    <row r="40" spans="1:5" ht="14.25" hidden="1" customHeight="1" x14ac:dyDescent="0.2">
      <c r="A40" s="119" t="s">
        <v>1635</v>
      </c>
      <c r="B40" s="167"/>
      <c r="C40" s="95"/>
      <c r="D40" s="95"/>
      <c r="E40" s="121">
        <f>59/2</f>
        <v>29.5</v>
      </c>
    </row>
    <row r="41" spans="1:5" ht="14.25" hidden="1" customHeight="1" x14ac:dyDescent="0.2">
      <c r="A41" s="276" t="s">
        <v>1636</v>
      </c>
      <c r="B41" s="277"/>
      <c r="C41" s="277"/>
      <c r="D41" s="95"/>
      <c r="E41" s="121">
        <f>40.5+4.05</f>
        <v>44.55</v>
      </c>
    </row>
    <row r="42" spans="1:5" ht="14.25" hidden="1" customHeight="1" x14ac:dyDescent="0.2">
      <c r="A42" s="270" t="s">
        <v>1637</v>
      </c>
      <c r="B42" s="271"/>
      <c r="C42" s="95"/>
      <c r="D42" s="95"/>
      <c r="E42" s="121">
        <f>12.3</f>
        <v>12.3</v>
      </c>
    </row>
    <row r="43" spans="1:5" ht="14.25" hidden="1" customHeight="1" x14ac:dyDescent="0.2">
      <c r="A43" s="270" t="s">
        <v>1638</v>
      </c>
      <c r="B43" s="271"/>
      <c r="C43" s="95"/>
      <c r="D43" s="95"/>
      <c r="E43" s="121">
        <f>9.2+0.92</f>
        <v>10.119999999999999</v>
      </c>
    </row>
    <row r="44" spans="1:5" ht="14.25" hidden="1" customHeight="1" x14ac:dyDescent="0.2">
      <c r="A44" s="270" t="s">
        <v>1639</v>
      </c>
      <c r="B44" s="271"/>
      <c r="C44" s="95"/>
      <c r="D44" s="95"/>
      <c r="E44" s="121">
        <f>18.3/2</f>
        <v>9.15</v>
      </c>
    </row>
    <row r="45" spans="1:5" ht="14.25" hidden="1" customHeight="1" x14ac:dyDescent="0.2">
      <c r="A45" s="119" t="s">
        <v>1640</v>
      </c>
      <c r="B45" s="167"/>
      <c r="C45" s="95"/>
      <c r="D45" s="95"/>
      <c r="E45" s="121">
        <f>120.1/2</f>
        <v>60.05</v>
      </c>
    </row>
    <row r="46" spans="1:5" ht="14.25" hidden="1" customHeight="1" x14ac:dyDescent="0.2">
      <c r="A46" s="270" t="s">
        <v>1641</v>
      </c>
      <c r="B46" s="271"/>
      <c r="C46" s="95"/>
      <c r="D46" s="95"/>
      <c r="E46" s="121">
        <f>2.2</f>
        <v>2.2000000000000002</v>
      </c>
    </row>
    <row r="47" spans="1:5" ht="14.25" hidden="1" customHeight="1" x14ac:dyDescent="0.2">
      <c r="A47" s="122" t="s">
        <v>1642</v>
      </c>
      <c r="B47" s="168"/>
      <c r="C47" s="95"/>
      <c r="D47" s="95"/>
      <c r="E47" s="121">
        <f>8.62+25.87+84.7</f>
        <v>119.19</v>
      </c>
    </row>
    <row r="48" spans="1:5" ht="15" hidden="1" customHeight="1" x14ac:dyDescent="0.2">
      <c r="A48" s="238" t="s">
        <v>1643</v>
      </c>
      <c r="B48" s="238"/>
      <c r="C48" s="238"/>
      <c r="D48" s="215"/>
      <c r="E48" s="50">
        <f>SUM(E23:E47)</f>
        <v>1025.8599999999999</v>
      </c>
    </row>
    <row r="49" spans="1:5" ht="15" hidden="1" customHeight="1" x14ac:dyDescent="0.2">
      <c r="A49" s="238" t="s">
        <v>941</v>
      </c>
      <c r="B49" s="238"/>
      <c r="C49" s="238"/>
      <c r="D49" s="215"/>
      <c r="E49" s="50">
        <v>1025.68</v>
      </c>
    </row>
    <row r="50" spans="1:5" ht="15" hidden="1" customHeight="1" x14ac:dyDescent="0.2">
      <c r="A50" s="238" t="s">
        <v>1644</v>
      </c>
      <c r="B50" s="238"/>
      <c r="C50" s="238"/>
      <c r="D50" s="215"/>
      <c r="E50" s="50">
        <v>565.70000000000005</v>
      </c>
    </row>
    <row r="51" spans="1:5" ht="15" hidden="1" customHeight="1" x14ac:dyDescent="0.2">
      <c r="A51" s="274" t="s">
        <v>943</v>
      </c>
      <c r="B51" s="274"/>
      <c r="C51" s="274"/>
      <c r="D51" s="275"/>
      <c r="E51" s="64">
        <f>E49-E50</f>
        <v>459.98</v>
      </c>
    </row>
    <row r="52" spans="1:5" ht="15" hidden="1" customHeight="1" x14ac:dyDescent="0.2">
      <c r="A52" s="237" t="s">
        <v>942</v>
      </c>
      <c r="B52" s="237"/>
      <c r="C52" s="237"/>
      <c r="D52" s="233"/>
      <c r="E52" s="96">
        <f>E49-E48</f>
        <v>-0.17999999999983629</v>
      </c>
    </row>
    <row r="53" spans="1:5" hidden="1" x14ac:dyDescent="0.2">
      <c r="A53" s="34"/>
      <c r="E53" s="36"/>
    </row>
    <row r="54" spans="1:5" s="43" customFormat="1" ht="39.75" hidden="1" customHeight="1" x14ac:dyDescent="0.2">
      <c r="A54" s="45" t="s">
        <v>844</v>
      </c>
      <c r="B54" s="214" t="s">
        <v>845</v>
      </c>
      <c r="C54" s="214"/>
      <c r="D54" s="214"/>
      <c r="E54" s="214"/>
    </row>
    <row r="55" spans="1:5" s="47" customFormat="1" ht="14.25" hidden="1" customHeight="1" x14ac:dyDescent="0.2">
      <c r="A55" s="253" t="s">
        <v>821</v>
      </c>
      <c r="B55" s="254"/>
      <c r="C55" s="49"/>
      <c r="D55" s="49"/>
      <c r="E55" s="121" t="s">
        <v>1617</v>
      </c>
    </row>
    <row r="56" spans="1:5" ht="14.25" hidden="1" customHeight="1" x14ac:dyDescent="0.2">
      <c r="A56" s="270" t="s">
        <v>1618</v>
      </c>
      <c r="B56" s="271"/>
      <c r="C56" s="95"/>
      <c r="D56" s="95"/>
      <c r="E56" s="121">
        <v>14</v>
      </c>
    </row>
    <row r="57" spans="1:5" ht="14.25" hidden="1" customHeight="1" x14ac:dyDescent="0.2">
      <c r="A57" s="270" t="s">
        <v>1619</v>
      </c>
      <c r="B57" s="271"/>
      <c r="C57" s="95"/>
      <c r="D57" s="95"/>
      <c r="E57" s="121">
        <v>65.5</v>
      </c>
    </row>
    <row r="58" spans="1:5" ht="14.25" hidden="1" customHeight="1" x14ac:dyDescent="0.2">
      <c r="A58" s="119" t="s">
        <v>1622</v>
      </c>
      <c r="B58" s="167"/>
      <c r="C58" s="95"/>
      <c r="D58" s="95"/>
      <c r="E58" s="121">
        <v>218</v>
      </c>
    </row>
    <row r="59" spans="1:5" ht="14.25" hidden="1" customHeight="1" x14ac:dyDescent="0.2">
      <c r="A59" s="270" t="s">
        <v>1623</v>
      </c>
      <c r="B59" s="271"/>
      <c r="C59" s="95"/>
      <c r="D59" s="95"/>
      <c r="E59" s="121">
        <f>17</f>
        <v>17</v>
      </c>
    </row>
    <row r="60" spans="1:5" ht="15" hidden="1" customHeight="1" x14ac:dyDescent="0.2">
      <c r="A60" s="238" t="s">
        <v>1643</v>
      </c>
      <c r="B60" s="238"/>
      <c r="C60" s="238"/>
      <c r="D60" s="215"/>
      <c r="E60" s="50">
        <f>SUM(E56:E59)</f>
        <v>314.5</v>
      </c>
    </row>
    <row r="61" spans="1:5" ht="15" hidden="1" customHeight="1" x14ac:dyDescent="0.2">
      <c r="A61" s="238" t="s">
        <v>941</v>
      </c>
      <c r="B61" s="238"/>
      <c r="C61" s="238"/>
      <c r="D61" s="215"/>
      <c r="E61" s="50">
        <v>314.5</v>
      </c>
    </row>
    <row r="62" spans="1:5" ht="15" hidden="1" customHeight="1" x14ac:dyDescent="0.2">
      <c r="A62" s="238" t="s">
        <v>1644</v>
      </c>
      <c r="B62" s="238"/>
      <c r="C62" s="238"/>
      <c r="D62" s="215"/>
      <c r="E62" s="50">
        <v>96.5</v>
      </c>
    </row>
    <row r="63" spans="1:5" ht="15" hidden="1" customHeight="1" x14ac:dyDescent="0.2">
      <c r="A63" s="274" t="s">
        <v>943</v>
      </c>
      <c r="B63" s="274"/>
      <c r="C63" s="274"/>
      <c r="D63" s="275"/>
      <c r="E63" s="64">
        <f>E61-E62</f>
        <v>218</v>
      </c>
    </row>
    <row r="64" spans="1:5" hidden="1" x14ac:dyDescent="0.2">
      <c r="A64" s="34"/>
      <c r="E64" s="36"/>
    </row>
    <row r="65" spans="1:5" s="43" customFormat="1" ht="39.75" hidden="1" customHeight="1" x14ac:dyDescent="0.2">
      <c r="A65" s="45" t="s">
        <v>846</v>
      </c>
      <c r="B65" s="225" t="s">
        <v>944</v>
      </c>
      <c r="C65" s="226"/>
      <c r="D65" s="226"/>
      <c r="E65" s="227"/>
    </row>
    <row r="66" spans="1:5" s="47" customFormat="1" ht="14.25" hidden="1" customHeight="1" x14ac:dyDescent="0.2">
      <c r="A66" s="253" t="s">
        <v>821</v>
      </c>
      <c r="B66" s="254"/>
      <c r="C66" s="49"/>
      <c r="D66" s="49"/>
      <c r="E66" s="121" t="s">
        <v>1617</v>
      </c>
    </row>
    <row r="67" spans="1:5" ht="14.25" hidden="1" customHeight="1" x14ac:dyDescent="0.2">
      <c r="A67" s="270" t="s">
        <v>1626</v>
      </c>
      <c r="B67" s="271"/>
      <c r="C67" s="95"/>
      <c r="D67" s="95"/>
      <c r="E67" s="121">
        <v>2.2999999999999998</v>
      </c>
    </row>
    <row r="68" spans="1:5" ht="14.25" hidden="1" customHeight="1" x14ac:dyDescent="0.2">
      <c r="A68" s="270" t="s">
        <v>1627</v>
      </c>
      <c r="B68" s="271"/>
      <c r="C68" s="95"/>
      <c r="D68" s="95"/>
      <c r="E68" s="121">
        <f>6.3</f>
        <v>6.3</v>
      </c>
    </row>
    <row r="69" spans="1:5" ht="14.25" hidden="1" customHeight="1" x14ac:dyDescent="0.2">
      <c r="A69" s="119" t="s">
        <v>1628</v>
      </c>
      <c r="B69" s="167"/>
      <c r="C69" s="95"/>
      <c r="D69" s="95"/>
      <c r="E69" s="121">
        <v>6.3</v>
      </c>
    </row>
    <row r="70" spans="1:5" ht="14.25" hidden="1" customHeight="1" x14ac:dyDescent="0.2">
      <c r="A70" s="119" t="s">
        <v>1629</v>
      </c>
      <c r="B70" s="167"/>
      <c r="C70" s="95"/>
      <c r="D70" s="95"/>
      <c r="E70" s="121">
        <v>57.5</v>
      </c>
    </row>
    <row r="71" spans="1:5" ht="14.25" hidden="1" customHeight="1" x14ac:dyDescent="0.2">
      <c r="A71" s="119" t="s">
        <v>1630</v>
      </c>
      <c r="B71" s="167"/>
      <c r="C71" s="95"/>
      <c r="D71" s="95"/>
      <c r="E71" s="121">
        <v>129.30000000000001</v>
      </c>
    </row>
    <row r="72" spans="1:5" ht="14.25" hidden="1" customHeight="1" x14ac:dyDescent="0.2">
      <c r="A72" s="119" t="s">
        <v>1631</v>
      </c>
      <c r="B72" s="167"/>
      <c r="C72" s="95"/>
      <c r="D72" s="95"/>
      <c r="E72" s="121">
        <f>140*3</f>
        <v>420</v>
      </c>
    </row>
    <row r="73" spans="1:5" ht="14.25" hidden="1" customHeight="1" x14ac:dyDescent="0.2">
      <c r="A73" s="119" t="s">
        <v>1632</v>
      </c>
      <c r="B73" s="167"/>
      <c r="C73" s="95"/>
      <c r="D73" s="95"/>
      <c r="E73" s="121">
        <v>271</v>
      </c>
    </row>
    <row r="74" spans="1:5" ht="14.25" hidden="1" customHeight="1" x14ac:dyDescent="0.2">
      <c r="A74" s="119" t="s">
        <v>1620</v>
      </c>
      <c r="B74" s="167"/>
      <c r="C74" s="95"/>
      <c r="D74" s="95"/>
      <c r="E74" s="121">
        <v>163</v>
      </c>
    </row>
    <row r="75" spans="1:5" ht="14.25" hidden="1" customHeight="1" x14ac:dyDescent="0.2">
      <c r="A75" s="119" t="s">
        <v>1621</v>
      </c>
      <c r="B75" s="167"/>
      <c r="C75" s="95"/>
      <c r="D75" s="95"/>
      <c r="E75" s="121">
        <v>59.3</v>
      </c>
    </row>
    <row r="76" spans="1:5" ht="14.25" hidden="1" customHeight="1" x14ac:dyDescent="0.2">
      <c r="A76" s="119" t="s">
        <v>1645</v>
      </c>
      <c r="B76" s="167"/>
      <c r="C76" s="95"/>
      <c r="D76" s="95"/>
      <c r="E76" s="121">
        <v>43</v>
      </c>
    </row>
    <row r="77" spans="1:5" ht="14.25" hidden="1" customHeight="1" x14ac:dyDescent="0.2">
      <c r="A77" s="119" t="s">
        <v>1624</v>
      </c>
      <c r="B77" s="167"/>
      <c r="C77" s="95"/>
      <c r="D77" s="95"/>
      <c r="E77" s="121">
        <v>54</v>
      </c>
    </row>
    <row r="78" spans="1:5" ht="14.25" hidden="1" customHeight="1" x14ac:dyDescent="0.2">
      <c r="A78" s="119" t="s">
        <v>1625</v>
      </c>
      <c r="B78" s="167"/>
      <c r="C78" s="95"/>
      <c r="D78" s="95"/>
      <c r="E78" s="121">
        <v>81</v>
      </c>
    </row>
    <row r="79" spans="1:5" ht="14.25" hidden="1" customHeight="1" x14ac:dyDescent="0.2">
      <c r="A79" s="119" t="s">
        <v>1633</v>
      </c>
      <c r="B79" s="167"/>
      <c r="C79" s="95"/>
      <c r="D79" s="95"/>
      <c r="E79" s="121">
        <v>207</v>
      </c>
    </row>
    <row r="80" spans="1:5" ht="14.25" hidden="1" customHeight="1" x14ac:dyDescent="0.2">
      <c r="A80" s="119" t="s">
        <v>1634</v>
      </c>
      <c r="B80" s="167"/>
      <c r="C80" s="95"/>
      <c r="D80" s="95"/>
      <c r="E80" s="121">
        <f>(210*3)*0.7</f>
        <v>441</v>
      </c>
    </row>
    <row r="81" spans="1:5" ht="14.25" hidden="1" customHeight="1" x14ac:dyDescent="0.2">
      <c r="A81" s="119" t="s">
        <v>1635</v>
      </c>
      <c r="B81" s="167"/>
      <c r="C81" s="95"/>
      <c r="D81" s="95"/>
      <c r="E81" s="121">
        <v>126</v>
      </c>
    </row>
    <row r="82" spans="1:5" ht="14.25" hidden="1" customHeight="1" x14ac:dyDescent="0.2">
      <c r="A82" s="122" t="s">
        <v>1646</v>
      </c>
      <c r="B82" s="168"/>
      <c r="C82" s="95"/>
      <c r="D82" s="95"/>
      <c r="E82" s="121">
        <v>248.29</v>
      </c>
    </row>
    <row r="83" spans="1:5" ht="15" hidden="1" customHeight="1" x14ac:dyDescent="0.2">
      <c r="A83" s="238" t="s">
        <v>1643</v>
      </c>
      <c r="B83" s="238"/>
      <c r="C83" s="238"/>
      <c r="D83" s="215"/>
      <c r="E83" s="50">
        <f>SUM(E67:E82)</f>
        <v>2315.29</v>
      </c>
    </row>
    <row r="84" spans="1:5" ht="15" hidden="1" customHeight="1" x14ac:dyDescent="0.2">
      <c r="A84" s="238" t="s">
        <v>941</v>
      </c>
      <c r="B84" s="238"/>
      <c r="C84" s="238"/>
      <c r="D84" s="215"/>
      <c r="E84" s="50">
        <v>1392.7</v>
      </c>
    </row>
    <row r="85" spans="1:5" ht="15" hidden="1" customHeight="1" x14ac:dyDescent="0.2">
      <c r="A85" s="238" t="s">
        <v>1644</v>
      </c>
      <c r="B85" s="238"/>
      <c r="C85" s="238"/>
      <c r="D85" s="215"/>
      <c r="E85" s="50">
        <v>1354.88</v>
      </c>
    </row>
    <row r="86" spans="1:5" ht="15" hidden="1" customHeight="1" x14ac:dyDescent="0.2">
      <c r="A86" s="274" t="s">
        <v>943</v>
      </c>
      <c r="B86" s="274"/>
      <c r="C86" s="274"/>
      <c r="D86" s="275"/>
      <c r="E86" s="64">
        <f>E84-E85</f>
        <v>37.819999999999936</v>
      </c>
    </row>
    <row r="87" spans="1:5" ht="15" hidden="1" customHeight="1" x14ac:dyDescent="0.2">
      <c r="A87" s="237" t="s">
        <v>942</v>
      </c>
      <c r="B87" s="237"/>
      <c r="C87" s="237"/>
      <c r="D87" s="233"/>
      <c r="E87" s="96">
        <f>E84-E83</f>
        <v>-922.58999999999992</v>
      </c>
    </row>
    <row r="88" spans="1:5" hidden="1" x14ac:dyDescent="0.2">
      <c r="A88" s="34"/>
      <c r="E88" s="36"/>
    </row>
    <row r="89" spans="1:5" s="43" customFormat="1" ht="39.75" hidden="1" customHeight="1" x14ac:dyDescent="0.2">
      <c r="A89" s="169" t="s">
        <v>848</v>
      </c>
      <c r="B89" s="225" t="s">
        <v>103</v>
      </c>
      <c r="C89" s="226"/>
      <c r="D89" s="226"/>
      <c r="E89" s="227"/>
    </row>
    <row r="90" spans="1:5" s="47" customFormat="1" ht="14.25" hidden="1" customHeight="1" x14ac:dyDescent="0.2">
      <c r="A90" s="253" t="s">
        <v>821</v>
      </c>
      <c r="B90" s="254"/>
      <c r="C90" s="49"/>
      <c r="D90" s="49"/>
      <c r="E90" s="121" t="s">
        <v>1617</v>
      </c>
    </row>
    <row r="91" spans="1:5" ht="14.25" hidden="1" customHeight="1" x14ac:dyDescent="0.2">
      <c r="A91" s="276" t="s">
        <v>1636</v>
      </c>
      <c r="B91" s="277"/>
      <c r="C91" s="277"/>
      <c r="D91" s="95"/>
      <c r="E91" s="121">
        <f>154.3+15.43</f>
        <v>169.73000000000002</v>
      </c>
    </row>
    <row r="92" spans="1:5" ht="14.25" hidden="1" customHeight="1" x14ac:dyDescent="0.2">
      <c r="A92" s="270" t="s">
        <v>1637</v>
      </c>
      <c r="B92" s="271"/>
      <c r="C92" s="88"/>
      <c r="D92" s="95"/>
      <c r="E92" s="121">
        <v>49.4</v>
      </c>
    </row>
    <row r="93" spans="1:5" ht="14.25" hidden="1" customHeight="1" x14ac:dyDescent="0.2">
      <c r="A93" s="270" t="s">
        <v>1638</v>
      </c>
      <c r="B93" s="271"/>
      <c r="C93" s="88"/>
      <c r="D93" s="95"/>
      <c r="E93" s="121">
        <v>40.700000000000003</v>
      </c>
    </row>
    <row r="94" spans="1:5" ht="14.25" hidden="1" customHeight="1" x14ac:dyDescent="0.2">
      <c r="A94" s="270" t="s">
        <v>1639</v>
      </c>
      <c r="B94" s="271"/>
      <c r="C94" s="95"/>
      <c r="D94" s="95"/>
      <c r="E94" s="121">
        <f>74</f>
        <v>74</v>
      </c>
    </row>
    <row r="95" spans="1:5" ht="14.25" hidden="1" customHeight="1" x14ac:dyDescent="0.2">
      <c r="A95" s="270" t="s">
        <v>1647</v>
      </c>
      <c r="B95" s="271"/>
      <c r="C95" s="95"/>
      <c r="D95" s="95"/>
      <c r="E95" s="121">
        <f>343.4*0.5</f>
        <v>171.7</v>
      </c>
    </row>
    <row r="96" spans="1:5" ht="14.25" hidden="1" customHeight="1" x14ac:dyDescent="0.2">
      <c r="A96" s="270" t="s">
        <v>1641</v>
      </c>
      <c r="B96" s="271"/>
      <c r="C96" s="95"/>
      <c r="D96" s="95"/>
      <c r="E96" s="121">
        <v>6.2</v>
      </c>
    </row>
    <row r="97" spans="1:6" ht="14.25" hidden="1" customHeight="1" x14ac:dyDescent="0.2">
      <c r="A97" s="122" t="s">
        <v>1648</v>
      </c>
      <c r="B97" s="168"/>
      <c r="C97" s="95"/>
      <c r="D97" s="95"/>
      <c r="E97" s="121">
        <f>39.49+118.48</f>
        <v>157.97</v>
      </c>
    </row>
    <row r="98" spans="1:6" ht="15" hidden="1" customHeight="1" x14ac:dyDescent="0.2">
      <c r="A98" s="238" t="s">
        <v>1643</v>
      </c>
      <c r="B98" s="238"/>
      <c r="C98" s="238"/>
      <c r="D98" s="215"/>
      <c r="E98" s="50">
        <f>SUM(E91:E97)</f>
        <v>669.7</v>
      </c>
    </row>
    <row r="99" spans="1:6" ht="15" hidden="1" customHeight="1" x14ac:dyDescent="0.2">
      <c r="A99" s="238" t="s">
        <v>941</v>
      </c>
      <c r="B99" s="238"/>
      <c r="C99" s="238"/>
      <c r="D99" s="215"/>
      <c r="E99" s="50">
        <v>665.53</v>
      </c>
    </row>
    <row r="100" spans="1:6" ht="15" hidden="1" customHeight="1" x14ac:dyDescent="0.2">
      <c r="A100" s="238" t="s">
        <v>1644</v>
      </c>
      <c r="B100" s="238"/>
      <c r="C100" s="238"/>
      <c r="D100" s="215"/>
      <c r="E100" s="50">
        <v>350.24</v>
      </c>
    </row>
    <row r="101" spans="1:6" ht="15" hidden="1" customHeight="1" x14ac:dyDescent="0.2">
      <c r="A101" s="274" t="s">
        <v>943</v>
      </c>
      <c r="B101" s="274"/>
      <c r="C101" s="274"/>
      <c r="D101" s="275"/>
      <c r="E101" s="64">
        <f>E99-E100</f>
        <v>315.28999999999996</v>
      </c>
    </row>
    <row r="102" spans="1:6" ht="15" hidden="1" customHeight="1" x14ac:dyDescent="0.2">
      <c r="A102" s="237" t="s">
        <v>942</v>
      </c>
      <c r="B102" s="237"/>
      <c r="C102" s="237"/>
      <c r="D102" s="233"/>
      <c r="E102" s="96">
        <f>E99-E98</f>
        <v>-4.1700000000000728</v>
      </c>
    </row>
    <row r="103" spans="1:6" hidden="1" x14ac:dyDescent="0.2">
      <c r="A103" s="34"/>
      <c r="E103" s="36"/>
    </row>
    <row r="104" spans="1:6" s="43" customFormat="1" ht="39.75" customHeight="1" x14ac:dyDescent="0.2">
      <c r="A104" s="45" t="s">
        <v>1205</v>
      </c>
      <c r="B104" s="214" t="s">
        <v>147</v>
      </c>
      <c r="C104" s="214"/>
      <c r="D104" s="214"/>
      <c r="E104" s="214"/>
      <c r="F104" s="43" t="s">
        <v>865</v>
      </c>
    </row>
    <row r="105" spans="1:6" s="47" customFormat="1" ht="14.25" customHeight="1" x14ac:dyDescent="0.2">
      <c r="A105" s="253" t="s">
        <v>821</v>
      </c>
      <c r="B105" s="254"/>
      <c r="C105" s="49"/>
      <c r="D105" s="49"/>
      <c r="E105" s="121" t="s">
        <v>1091</v>
      </c>
    </row>
    <row r="106" spans="1:6" ht="14.25" customHeight="1" x14ac:dyDescent="0.2">
      <c r="A106" s="270" t="s">
        <v>1649</v>
      </c>
      <c r="B106" s="271"/>
      <c r="C106" s="95"/>
      <c r="D106" s="95"/>
      <c r="E106" s="121">
        <v>753.89</v>
      </c>
    </row>
    <row r="107" spans="1:6" ht="15" customHeight="1" x14ac:dyDescent="0.2">
      <c r="A107" s="238" t="s">
        <v>1650</v>
      </c>
      <c r="B107" s="238"/>
      <c r="C107" s="238"/>
      <c r="D107" s="215"/>
      <c r="E107" s="50">
        <f>SUM(E106:E106)</f>
        <v>753.89</v>
      </c>
    </row>
    <row r="108" spans="1:6" ht="15" customHeight="1" x14ac:dyDescent="0.2">
      <c r="A108" s="238" t="s">
        <v>1651</v>
      </c>
      <c r="B108" s="238"/>
      <c r="C108" s="238"/>
      <c r="D108" s="215"/>
      <c r="E108" s="50">
        <v>942.37</v>
      </c>
    </row>
    <row r="109" spans="1:6" ht="15" customHeight="1" x14ac:dyDescent="0.2">
      <c r="A109" s="238" t="s">
        <v>1661</v>
      </c>
      <c r="B109" s="238"/>
      <c r="C109" s="238"/>
      <c r="D109" s="215"/>
      <c r="E109" s="50">
        <v>565.41999999999996</v>
      </c>
    </row>
    <row r="110" spans="1:6" ht="15" customHeight="1" x14ac:dyDescent="0.2">
      <c r="A110" s="274" t="s">
        <v>1652</v>
      </c>
      <c r="B110" s="274"/>
      <c r="C110" s="274"/>
      <c r="D110" s="275"/>
      <c r="E110" s="64">
        <f>E107-E109</f>
        <v>188.47000000000003</v>
      </c>
    </row>
    <row r="111" spans="1:6" x14ac:dyDescent="0.2">
      <c r="A111" s="34"/>
      <c r="E111" s="36"/>
    </row>
    <row r="112" spans="1:6" s="43" customFormat="1" ht="39.75" customHeight="1" x14ac:dyDescent="0.2">
      <c r="A112" s="45" t="s">
        <v>1257</v>
      </c>
      <c r="B112" s="214" t="s">
        <v>151</v>
      </c>
      <c r="C112" s="214"/>
      <c r="D112" s="214"/>
      <c r="E112" s="214"/>
      <c r="F112" s="43" t="s">
        <v>865</v>
      </c>
    </row>
    <row r="113" spans="1:5" s="47" customFormat="1" ht="14.25" customHeight="1" x14ac:dyDescent="0.2">
      <c r="A113" s="253" t="s">
        <v>821</v>
      </c>
      <c r="B113" s="254"/>
      <c r="C113" s="49"/>
      <c r="D113" s="49"/>
      <c r="E113" s="121" t="s">
        <v>908</v>
      </c>
    </row>
    <row r="114" spans="1:5" ht="14.25" customHeight="1" x14ac:dyDescent="0.2">
      <c r="A114" s="270" t="s">
        <v>1649</v>
      </c>
      <c r="B114" s="271"/>
      <c r="C114" s="95"/>
      <c r="D114" s="95"/>
      <c r="E114" s="121">
        <v>565.41</v>
      </c>
    </row>
    <row r="115" spans="1:5" ht="15" customHeight="1" x14ac:dyDescent="0.2">
      <c r="A115" s="238" t="s">
        <v>1653</v>
      </c>
      <c r="B115" s="238"/>
      <c r="C115" s="238"/>
      <c r="D115" s="215"/>
      <c r="E115" s="50">
        <f>E114</f>
        <v>565.41</v>
      </c>
    </row>
    <row r="116" spans="1:5" ht="15" customHeight="1" x14ac:dyDescent="0.2">
      <c r="A116" s="238" t="s">
        <v>1654</v>
      </c>
      <c r="B116" s="238"/>
      <c r="C116" s="238"/>
      <c r="D116" s="215"/>
      <c r="E116" s="50">
        <v>706.77</v>
      </c>
    </row>
    <row r="117" spans="1:5" ht="15" customHeight="1" x14ac:dyDescent="0.2">
      <c r="A117" s="238" t="s">
        <v>1659</v>
      </c>
      <c r="B117" s="238"/>
      <c r="C117" s="238"/>
      <c r="D117" s="215"/>
      <c r="E117" s="50">
        <v>424.06</v>
      </c>
    </row>
    <row r="118" spans="1:5" ht="15" customHeight="1" x14ac:dyDescent="0.2">
      <c r="A118" s="274" t="s">
        <v>1660</v>
      </c>
      <c r="B118" s="274"/>
      <c r="C118" s="274"/>
      <c r="D118" s="275"/>
      <c r="E118" s="64">
        <f>E115-E117</f>
        <v>141.34999999999997</v>
      </c>
    </row>
    <row r="119" spans="1:5" x14ac:dyDescent="0.2">
      <c r="A119" s="65"/>
      <c r="B119" s="46"/>
      <c r="C119" s="46"/>
      <c r="D119" s="46"/>
      <c r="E119" s="66"/>
    </row>
  </sheetData>
  <mergeCells count="70">
    <mergeCell ref="A115:D115"/>
    <mergeCell ref="A116:D116"/>
    <mergeCell ref="A117:D117"/>
    <mergeCell ref="A118:D118"/>
    <mergeCell ref="A108:D108"/>
    <mergeCell ref="A109:D109"/>
    <mergeCell ref="A110:D110"/>
    <mergeCell ref="B112:E112"/>
    <mergeCell ref="A113:B113"/>
    <mergeCell ref="A114:B114"/>
    <mergeCell ref="A107:D107"/>
    <mergeCell ref="A94:B94"/>
    <mergeCell ref="A95:B95"/>
    <mergeCell ref="A96:B96"/>
    <mergeCell ref="A98:D98"/>
    <mergeCell ref="A99:D99"/>
    <mergeCell ref="A100:D100"/>
    <mergeCell ref="A101:D101"/>
    <mergeCell ref="A102:D102"/>
    <mergeCell ref="B104:E104"/>
    <mergeCell ref="A105:B105"/>
    <mergeCell ref="A106:B106"/>
    <mergeCell ref="A93:B93"/>
    <mergeCell ref="A67:B67"/>
    <mergeCell ref="A68:B68"/>
    <mergeCell ref="A83:D83"/>
    <mergeCell ref="A84:D84"/>
    <mergeCell ref="A85:D85"/>
    <mergeCell ref="A86:D86"/>
    <mergeCell ref="A87:D87"/>
    <mergeCell ref="B89:E89"/>
    <mergeCell ref="A90:B90"/>
    <mergeCell ref="A91:C91"/>
    <mergeCell ref="A92:B92"/>
    <mergeCell ref="A66:B66"/>
    <mergeCell ref="A52:D52"/>
    <mergeCell ref="B54:E54"/>
    <mergeCell ref="A55:B55"/>
    <mergeCell ref="A56:B56"/>
    <mergeCell ref="A57:B57"/>
    <mergeCell ref="A59:B59"/>
    <mergeCell ref="A60:D60"/>
    <mergeCell ref="A61:D61"/>
    <mergeCell ref="A62:D62"/>
    <mergeCell ref="A63:D63"/>
    <mergeCell ref="B65:E65"/>
    <mergeCell ref="A51:D51"/>
    <mergeCell ref="A28:B28"/>
    <mergeCell ref="A31:B31"/>
    <mergeCell ref="A32:B32"/>
    <mergeCell ref="A41:C41"/>
    <mergeCell ref="A42:B42"/>
    <mergeCell ref="A43:B43"/>
    <mergeCell ref="A44:B44"/>
    <mergeCell ref="A46:B46"/>
    <mergeCell ref="A48:D48"/>
    <mergeCell ref="A49:D49"/>
    <mergeCell ref="A50:D50"/>
    <mergeCell ref="A23:B23"/>
    <mergeCell ref="A11:E11"/>
    <mergeCell ref="B13:E13"/>
    <mergeCell ref="B14:E14"/>
    <mergeCell ref="A15:D15"/>
    <mergeCell ref="A16:B16"/>
    <mergeCell ref="A17:D17"/>
    <mergeCell ref="A18:D18"/>
    <mergeCell ref="A19:D19"/>
    <mergeCell ref="A20:B20"/>
    <mergeCell ref="B21:E21"/>
    <mergeCell ref="A22:B22"/>
  </mergeCells>
  <printOptions horizontalCentered="1"/>
  <pageMargins left="0.51181102362204722" right="0.51181102362204722" top="0.78740157480314965" bottom="0.78740157480314965" header="0.31496062992125984" footer="0.31496062992125984"/>
  <pageSetup paperSize="9" scale="90" orientation="portrait" verticalDpi="360"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54E5E-33A8-44EE-B1A1-C18036EA7219}">
  <sheetPr>
    <tabColor theme="4"/>
  </sheetPr>
  <dimension ref="A6:E64"/>
  <sheetViews>
    <sheetView view="pageBreakPreview" topLeftCell="A2" zoomScale="90" zoomScaleNormal="95" zoomScaleSheetLayoutView="90" workbookViewId="0">
      <selection activeCell="H57" sqref="H57"/>
    </sheetView>
  </sheetViews>
  <sheetFormatPr defaultColWidth="9" defaultRowHeight="12.75" x14ac:dyDescent="0.2"/>
  <cols>
    <col min="1" max="1" width="14.75" style="35" customWidth="1"/>
    <col min="2" max="2" width="16.75" style="35" customWidth="1"/>
    <col min="3" max="3" width="19" style="35" customWidth="1"/>
    <col min="4" max="4" width="17.5" style="35" customWidth="1"/>
    <col min="5" max="5" width="12.75" style="42" customWidth="1"/>
    <col min="6" max="16384" width="9" style="33"/>
  </cols>
  <sheetData>
    <row r="6" spans="1:5" x14ac:dyDescent="0.2">
      <c r="A6" s="38"/>
      <c r="B6" s="38"/>
      <c r="C6" s="39"/>
      <c r="D6" s="39"/>
      <c r="E6" s="58"/>
    </row>
    <row r="7" spans="1:5" x14ac:dyDescent="0.2">
      <c r="A7" s="38" t="s">
        <v>820</v>
      </c>
      <c r="B7" s="38"/>
      <c r="C7" s="39"/>
      <c r="D7" s="39"/>
      <c r="E7" s="58"/>
    </row>
    <row r="8" spans="1:5" x14ac:dyDescent="0.2">
      <c r="A8" s="38" t="s">
        <v>2</v>
      </c>
      <c r="B8" s="38"/>
      <c r="C8" s="39"/>
      <c r="D8" s="39"/>
      <c r="E8" s="58"/>
    </row>
    <row r="9" spans="1:5" x14ac:dyDescent="0.2">
      <c r="A9" s="38" t="s">
        <v>8</v>
      </c>
      <c r="B9" s="38"/>
      <c r="C9" s="39"/>
      <c r="D9" s="39"/>
      <c r="E9" s="58"/>
    </row>
    <row r="10" spans="1:5" x14ac:dyDescent="0.2">
      <c r="A10" s="37" t="s">
        <v>1313</v>
      </c>
      <c r="B10" s="38"/>
      <c r="C10" s="38"/>
      <c r="D10" s="39"/>
      <c r="E10" s="39"/>
    </row>
    <row r="11" spans="1:5" ht="13.5" thickBot="1" x14ac:dyDescent="0.25">
      <c r="A11" s="38"/>
      <c r="B11" s="38"/>
      <c r="C11" s="39"/>
      <c r="D11" s="39"/>
      <c r="E11" s="58"/>
    </row>
    <row r="12" spans="1:5" s="43" customFormat="1" ht="21" customHeight="1" thickBot="1" x14ac:dyDescent="0.25">
      <c r="A12" s="248" t="s">
        <v>1314</v>
      </c>
      <c r="B12" s="249"/>
      <c r="C12" s="249"/>
      <c r="D12" s="249"/>
      <c r="E12" s="250"/>
    </row>
    <row r="13" spans="1:5" x14ac:dyDescent="0.2">
      <c r="A13" s="34"/>
      <c r="E13" s="36"/>
    </row>
    <row r="14" spans="1:5" ht="17.25" customHeight="1" x14ac:dyDescent="0.2">
      <c r="A14" s="44" t="s">
        <v>1113</v>
      </c>
      <c r="B14" s="221" t="s">
        <v>153</v>
      </c>
      <c r="C14" s="221"/>
      <c r="D14" s="221"/>
      <c r="E14" s="221"/>
    </row>
    <row r="15" spans="1:5" ht="17.25" hidden="1" customHeight="1" x14ac:dyDescent="0.2">
      <c r="A15" s="170" t="s">
        <v>1114</v>
      </c>
      <c r="B15" s="280" t="s">
        <v>155</v>
      </c>
      <c r="C15" s="280"/>
      <c r="D15" s="280"/>
      <c r="E15" s="280"/>
    </row>
    <row r="16" spans="1:5" s="43" customFormat="1" ht="38.25" hidden="1" customHeight="1" x14ac:dyDescent="0.2">
      <c r="A16" s="45" t="s">
        <v>1115</v>
      </c>
      <c r="B16" s="214" t="s">
        <v>157</v>
      </c>
      <c r="C16" s="214"/>
      <c r="D16" s="214"/>
      <c r="E16" s="214"/>
    </row>
    <row r="17" spans="1:5" ht="12.75" hidden="1" customHeight="1" x14ac:dyDescent="0.2">
      <c r="A17" s="278" t="s">
        <v>1662</v>
      </c>
      <c r="B17" s="279"/>
      <c r="C17" s="279"/>
      <c r="D17" s="279"/>
      <c r="E17" s="171">
        <v>249</v>
      </c>
    </row>
    <row r="18" spans="1:5" ht="12.75" hidden="1" customHeight="1" x14ac:dyDescent="0.2">
      <c r="A18" s="239"/>
      <c r="B18" s="240"/>
      <c r="C18" s="240"/>
      <c r="D18" s="240"/>
      <c r="E18" s="172"/>
    </row>
    <row r="19" spans="1:5" ht="14.25" hidden="1" customHeight="1" x14ac:dyDescent="0.2">
      <c r="A19" s="215" t="s">
        <v>1116</v>
      </c>
      <c r="B19" s="216"/>
      <c r="C19" s="216"/>
      <c r="D19" s="216"/>
      <c r="E19" s="62">
        <f>SUM(E17:E18)</f>
        <v>249</v>
      </c>
    </row>
    <row r="20" spans="1:5" ht="14.25" hidden="1" customHeight="1" x14ac:dyDescent="0.2">
      <c r="A20" s="215" t="s">
        <v>1117</v>
      </c>
      <c r="B20" s="216"/>
      <c r="C20" s="216"/>
      <c r="D20" s="216"/>
      <c r="E20" s="62">
        <f>[2]Planilha!D94</f>
        <v>249</v>
      </c>
    </row>
    <row r="21" spans="1:5" ht="14.25" hidden="1" customHeight="1" x14ac:dyDescent="0.2">
      <c r="A21" s="215" t="s">
        <v>1663</v>
      </c>
      <c r="B21" s="216"/>
      <c r="C21" s="216"/>
      <c r="D21" s="216"/>
      <c r="E21" s="62">
        <v>0</v>
      </c>
    </row>
    <row r="22" spans="1:5" ht="14.25" hidden="1" customHeight="1" x14ac:dyDescent="0.2">
      <c r="A22" s="219" t="s">
        <v>1118</v>
      </c>
      <c r="B22" s="220"/>
      <c r="C22" s="220"/>
      <c r="D22" s="220"/>
      <c r="E22" s="63">
        <f>E19</f>
        <v>249</v>
      </c>
    </row>
    <row r="23" spans="1:5" hidden="1" x14ac:dyDescent="0.2">
      <c r="A23" s="79"/>
      <c r="B23" s="80"/>
      <c r="C23" s="80"/>
      <c r="D23" s="80"/>
      <c r="E23" s="81"/>
    </row>
    <row r="24" spans="1:5" s="43" customFormat="1" ht="38.25" hidden="1" customHeight="1" x14ac:dyDescent="0.2">
      <c r="A24" s="45" t="s">
        <v>1119</v>
      </c>
      <c r="B24" s="214" t="s">
        <v>159</v>
      </c>
      <c r="C24" s="214"/>
      <c r="D24" s="214"/>
      <c r="E24" s="214"/>
    </row>
    <row r="25" spans="1:5" ht="12.75" hidden="1" customHeight="1" x14ac:dyDescent="0.2">
      <c r="A25" s="278" t="s">
        <v>1662</v>
      </c>
      <c r="B25" s="279"/>
      <c r="C25" s="279"/>
      <c r="D25" s="279"/>
      <c r="E25" s="171">
        <v>352</v>
      </c>
    </row>
    <row r="26" spans="1:5" ht="12.75" hidden="1" customHeight="1" x14ac:dyDescent="0.2">
      <c r="A26" s="239"/>
      <c r="B26" s="240"/>
      <c r="C26" s="240"/>
      <c r="D26" s="240"/>
      <c r="E26" s="172"/>
    </row>
    <row r="27" spans="1:5" ht="14.25" hidden="1" customHeight="1" x14ac:dyDescent="0.2">
      <c r="A27" s="215" t="s">
        <v>1120</v>
      </c>
      <c r="B27" s="216"/>
      <c r="C27" s="216"/>
      <c r="D27" s="216"/>
      <c r="E27" s="62">
        <f>E25</f>
        <v>352</v>
      </c>
    </row>
    <row r="28" spans="1:5" ht="14.25" hidden="1" customHeight="1" x14ac:dyDescent="0.2">
      <c r="A28" s="215" t="s">
        <v>1121</v>
      </c>
      <c r="B28" s="216"/>
      <c r="C28" s="216"/>
      <c r="D28" s="216"/>
      <c r="E28" s="62">
        <f>[2]Planilha!D95</f>
        <v>504.04</v>
      </c>
    </row>
    <row r="29" spans="1:5" ht="14.25" hidden="1" customHeight="1" x14ac:dyDescent="0.2">
      <c r="A29" s="215" t="s">
        <v>1664</v>
      </c>
      <c r="B29" s="216"/>
      <c r="C29" s="216"/>
      <c r="D29" s="216"/>
      <c r="E29" s="62">
        <v>0</v>
      </c>
    </row>
    <row r="30" spans="1:5" ht="14.25" hidden="1" customHeight="1" x14ac:dyDescent="0.2">
      <c r="A30" s="219" t="s">
        <v>1122</v>
      </c>
      <c r="B30" s="220"/>
      <c r="C30" s="220"/>
      <c r="D30" s="220"/>
      <c r="E30" s="63">
        <f>E27</f>
        <v>352</v>
      </c>
    </row>
    <row r="31" spans="1:5" hidden="1" x14ac:dyDescent="0.2">
      <c r="A31" s="79"/>
      <c r="B31" s="80"/>
      <c r="C31" s="80"/>
      <c r="D31" s="80"/>
      <c r="E31" s="81"/>
    </row>
    <row r="32" spans="1:5" s="43" customFormat="1" ht="38.25" hidden="1" customHeight="1" x14ac:dyDescent="0.2">
      <c r="A32" s="45" t="s">
        <v>1123</v>
      </c>
      <c r="B32" s="214" t="s">
        <v>161</v>
      </c>
      <c r="C32" s="214"/>
      <c r="D32" s="214"/>
      <c r="E32" s="214"/>
    </row>
    <row r="33" spans="1:5" ht="12.75" hidden="1" customHeight="1" x14ac:dyDescent="0.2">
      <c r="A33" s="278" t="s">
        <v>1662</v>
      </c>
      <c r="B33" s="279"/>
      <c r="C33" s="279"/>
      <c r="D33" s="279"/>
      <c r="E33" s="171">
        <v>168.34</v>
      </c>
    </row>
    <row r="34" spans="1:5" ht="12.75" hidden="1" customHeight="1" x14ac:dyDescent="0.2">
      <c r="A34" s="239"/>
      <c r="B34" s="240"/>
      <c r="C34" s="240"/>
      <c r="D34" s="240"/>
      <c r="E34" s="172"/>
    </row>
    <row r="35" spans="1:5" ht="14.25" hidden="1" customHeight="1" x14ac:dyDescent="0.2">
      <c r="A35" s="215" t="s">
        <v>1128</v>
      </c>
      <c r="B35" s="216"/>
      <c r="C35" s="216"/>
      <c r="D35" s="216"/>
      <c r="E35" s="62">
        <f>E33</f>
        <v>168.34</v>
      </c>
    </row>
    <row r="36" spans="1:5" ht="14.25" hidden="1" customHeight="1" x14ac:dyDescent="0.2">
      <c r="A36" s="215" t="s">
        <v>1124</v>
      </c>
      <c r="B36" s="216"/>
      <c r="C36" s="216"/>
      <c r="D36" s="216"/>
      <c r="E36" s="62">
        <f>[2]Planilha!D96</f>
        <v>168.34</v>
      </c>
    </row>
    <row r="37" spans="1:5" ht="14.25" hidden="1" customHeight="1" x14ac:dyDescent="0.2">
      <c r="A37" s="217" t="s">
        <v>1127</v>
      </c>
      <c r="B37" s="218"/>
      <c r="C37" s="218"/>
      <c r="D37" s="218"/>
      <c r="E37" s="69">
        <v>0</v>
      </c>
    </row>
    <row r="38" spans="1:5" ht="14.25" hidden="1" customHeight="1" x14ac:dyDescent="0.2">
      <c r="A38" s="219" t="s">
        <v>1665</v>
      </c>
      <c r="B38" s="220"/>
      <c r="C38" s="220"/>
      <c r="D38" s="220"/>
      <c r="E38" s="63">
        <f>E35</f>
        <v>168.34</v>
      </c>
    </row>
    <row r="39" spans="1:5" hidden="1" x14ac:dyDescent="0.2">
      <c r="A39" s="79"/>
      <c r="B39" s="80"/>
      <c r="C39" s="80"/>
      <c r="D39" s="80"/>
      <c r="E39" s="81"/>
    </row>
    <row r="40" spans="1:5" s="43" customFormat="1" ht="38.25" hidden="1" customHeight="1" x14ac:dyDescent="0.2">
      <c r="A40" s="45" t="s">
        <v>1125</v>
      </c>
      <c r="B40" s="214" t="s">
        <v>165</v>
      </c>
      <c r="C40" s="214"/>
      <c r="D40" s="214"/>
      <c r="E40" s="214"/>
    </row>
    <row r="41" spans="1:5" ht="12.75" hidden="1" customHeight="1" x14ac:dyDescent="0.2">
      <c r="A41" s="278" t="s">
        <v>1662</v>
      </c>
      <c r="B41" s="279"/>
      <c r="C41" s="279"/>
      <c r="D41" s="279"/>
      <c r="E41" s="171">
        <v>260</v>
      </c>
    </row>
    <row r="42" spans="1:5" ht="12.75" hidden="1" customHeight="1" x14ac:dyDescent="0.2">
      <c r="A42" s="239"/>
      <c r="B42" s="240"/>
      <c r="C42" s="240"/>
      <c r="D42" s="240"/>
      <c r="E42" s="172"/>
    </row>
    <row r="43" spans="1:5" ht="14.25" hidden="1" customHeight="1" x14ac:dyDescent="0.2">
      <c r="A43" s="215" t="s">
        <v>1129</v>
      </c>
      <c r="B43" s="216"/>
      <c r="C43" s="216"/>
      <c r="D43" s="216"/>
      <c r="E43" s="62">
        <f>E41</f>
        <v>260</v>
      </c>
    </row>
    <row r="44" spans="1:5" ht="14.25" hidden="1" customHeight="1" x14ac:dyDescent="0.2">
      <c r="A44" s="215" t="s">
        <v>1126</v>
      </c>
      <c r="B44" s="216"/>
      <c r="C44" s="216"/>
      <c r="D44" s="216"/>
      <c r="E44" s="62">
        <f>[2]Planilha!D98</f>
        <v>260</v>
      </c>
    </row>
    <row r="45" spans="1:5" ht="14.25" hidden="1" customHeight="1" x14ac:dyDescent="0.2">
      <c r="A45" s="217" t="s">
        <v>1132</v>
      </c>
      <c r="B45" s="218"/>
      <c r="C45" s="218"/>
      <c r="D45" s="218"/>
      <c r="E45" s="69">
        <v>0</v>
      </c>
    </row>
    <row r="46" spans="1:5" ht="14.25" hidden="1" customHeight="1" x14ac:dyDescent="0.2">
      <c r="A46" s="219" t="s">
        <v>1130</v>
      </c>
      <c r="B46" s="220"/>
      <c r="C46" s="220"/>
      <c r="D46" s="220"/>
      <c r="E46" s="63">
        <f>E43</f>
        <v>260</v>
      </c>
    </row>
    <row r="47" spans="1:5" hidden="1" x14ac:dyDescent="0.2">
      <c r="A47" s="79"/>
      <c r="B47" s="80"/>
      <c r="C47" s="80"/>
      <c r="D47" s="80"/>
      <c r="E47" s="81"/>
    </row>
    <row r="48" spans="1:5" s="43" customFormat="1" ht="38.25" hidden="1" customHeight="1" x14ac:dyDescent="0.2">
      <c r="A48" s="45" t="s">
        <v>1131</v>
      </c>
      <c r="B48" s="214" t="s">
        <v>171</v>
      </c>
      <c r="C48" s="214"/>
      <c r="D48" s="214"/>
      <c r="E48" s="214"/>
    </row>
    <row r="49" spans="1:5" ht="12.75" hidden="1" customHeight="1" x14ac:dyDescent="0.2">
      <c r="A49" s="278" t="s">
        <v>1666</v>
      </c>
      <c r="B49" s="279"/>
      <c r="C49" s="279"/>
      <c r="D49" s="279"/>
      <c r="E49" s="171">
        <v>20</v>
      </c>
    </row>
    <row r="50" spans="1:5" ht="12.75" hidden="1" customHeight="1" x14ac:dyDescent="0.2">
      <c r="A50" s="239"/>
      <c r="B50" s="240"/>
      <c r="C50" s="240"/>
      <c r="D50" s="240"/>
      <c r="E50" s="172"/>
    </row>
    <row r="51" spans="1:5" ht="14.25" hidden="1" customHeight="1" x14ac:dyDescent="0.2">
      <c r="A51" s="215" t="s">
        <v>1667</v>
      </c>
      <c r="B51" s="216"/>
      <c r="C51" s="216"/>
      <c r="D51" s="216"/>
      <c r="E51" s="62">
        <f>E49</f>
        <v>20</v>
      </c>
    </row>
    <row r="52" spans="1:5" ht="14.25" hidden="1" customHeight="1" x14ac:dyDescent="0.2">
      <c r="A52" s="215" t="s">
        <v>1668</v>
      </c>
      <c r="B52" s="216"/>
      <c r="C52" s="216"/>
      <c r="D52" s="216"/>
      <c r="E52" s="62">
        <f>[2]Planilha!D101</f>
        <v>59.58</v>
      </c>
    </row>
    <row r="53" spans="1:5" ht="14.25" hidden="1" customHeight="1" x14ac:dyDescent="0.2">
      <c r="A53" s="217" t="s">
        <v>1669</v>
      </c>
      <c r="B53" s="218"/>
      <c r="C53" s="218"/>
      <c r="D53" s="218"/>
      <c r="E53" s="69">
        <v>0</v>
      </c>
    </row>
    <row r="54" spans="1:5" ht="14.25" hidden="1" customHeight="1" x14ac:dyDescent="0.2">
      <c r="A54" s="219" t="s">
        <v>1670</v>
      </c>
      <c r="B54" s="220"/>
      <c r="C54" s="220"/>
      <c r="D54" s="220"/>
      <c r="E54" s="63">
        <f>E51</f>
        <v>20</v>
      </c>
    </row>
    <row r="55" spans="1:5" hidden="1" x14ac:dyDescent="0.2">
      <c r="A55" s="79"/>
      <c r="B55" s="80"/>
      <c r="C55" s="80"/>
      <c r="D55" s="80"/>
      <c r="E55" s="81"/>
    </row>
    <row r="56" spans="1:5" ht="17.25" customHeight="1" x14ac:dyDescent="0.2">
      <c r="A56" s="170" t="s">
        <v>1214</v>
      </c>
      <c r="B56" s="280" t="s">
        <v>174</v>
      </c>
      <c r="C56" s="280"/>
      <c r="D56" s="280"/>
      <c r="E56" s="280"/>
    </row>
    <row r="57" spans="1:5" s="43" customFormat="1" ht="38.25" customHeight="1" x14ac:dyDescent="0.2">
      <c r="A57" s="45" t="s">
        <v>1215</v>
      </c>
      <c r="B57" s="214" t="s">
        <v>180</v>
      </c>
      <c r="C57" s="214"/>
      <c r="D57" s="214"/>
      <c r="E57" s="214"/>
    </row>
    <row r="58" spans="1:5" ht="12.75" customHeight="1" x14ac:dyDescent="0.2">
      <c r="A58" s="278" t="s">
        <v>1671</v>
      </c>
      <c r="B58" s="279"/>
      <c r="C58" s="279"/>
      <c r="D58" s="279"/>
      <c r="E58" s="171">
        <v>2489.2399999999998</v>
      </c>
    </row>
    <row r="59" spans="1:5" ht="12.75" customHeight="1" x14ac:dyDescent="0.2">
      <c r="A59" s="239"/>
      <c r="B59" s="240"/>
      <c r="C59" s="240"/>
      <c r="D59" s="240"/>
      <c r="E59" s="172"/>
    </row>
    <row r="60" spans="1:5" ht="14.25" customHeight="1" x14ac:dyDescent="0.2">
      <c r="A60" s="215" t="s">
        <v>1672</v>
      </c>
      <c r="B60" s="216"/>
      <c r="C60" s="216"/>
      <c r="D60" s="216"/>
      <c r="E60" s="62">
        <f>SUM(E58:E59)</f>
        <v>2489.2399999999998</v>
      </c>
    </row>
    <row r="61" spans="1:5" ht="14.25" customHeight="1" x14ac:dyDescent="0.2">
      <c r="A61" s="215" t="s">
        <v>1673</v>
      </c>
      <c r="B61" s="216"/>
      <c r="C61" s="216"/>
      <c r="D61" s="216"/>
      <c r="E61" s="62">
        <v>3098.11</v>
      </c>
    </row>
    <row r="62" spans="1:5" ht="14.25" customHeight="1" x14ac:dyDescent="0.2">
      <c r="A62" s="215" t="s">
        <v>1674</v>
      </c>
      <c r="B62" s="216"/>
      <c r="C62" s="216"/>
      <c r="D62" s="216"/>
      <c r="E62" s="62">
        <v>1250</v>
      </c>
    </row>
    <row r="63" spans="1:5" ht="14.25" customHeight="1" x14ac:dyDescent="0.2">
      <c r="A63" s="219" t="s">
        <v>1675</v>
      </c>
      <c r="B63" s="220"/>
      <c r="C63" s="220"/>
      <c r="D63" s="220"/>
      <c r="E63" s="63">
        <f>E60-E62</f>
        <v>1239.2399999999998</v>
      </c>
    </row>
    <row r="64" spans="1:5" x14ac:dyDescent="0.2">
      <c r="A64" s="79"/>
      <c r="B64" s="80"/>
      <c r="C64" s="80"/>
      <c r="D64" s="80"/>
      <c r="E64" s="81"/>
    </row>
  </sheetData>
  <mergeCells count="46">
    <mergeCell ref="A60:D60"/>
    <mergeCell ref="A61:D61"/>
    <mergeCell ref="A62:D62"/>
    <mergeCell ref="A63:D63"/>
    <mergeCell ref="A53:D53"/>
    <mergeCell ref="A54:D54"/>
    <mergeCell ref="B56:E56"/>
    <mergeCell ref="B57:E57"/>
    <mergeCell ref="A58:D58"/>
    <mergeCell ref="A59:D59"/>
    <mergeCell ref="A52:D52"/>
    <mergeCell ref="B40:E40"/>
    <mergeCell ref="A41:D41"/>
    <mergeCell ref="A42:D42"/>
    <mergeCell ref="A43:D43"/>
    <mergeCell ref="A44:D44"/>
    <mergeCell ref="A45:D45"/>
    <mergeCell ref="A46:D46"/>
    <mergeCell ref="B48:E48"/>
    <mergeCell ref="A49:D49"/>
    <mergeCell ref="A50:D50"/>
    <mergeCell ref="A51:D51"/>
    <mergeCell ref="A38:D38"/>
    <mergeCell ref="A26:D26"/>
    <mergeCell ref="A27:D27"/>
    <mergeCell ref="A28:D28"/>
    <mergeCell ref="A29:D29"/>
    <mergeCell ref="A30:D30"/>
    <mergeCell ref="B32:E32"/>
    <mergeCell ref="A33:D33"/>
    <mergeCell ref="A34:D34"/>
    <mergeCell ref="A35:D35"/>
    <mergeCell ref="A36:D36"/>
    <mergeCell ref="A37:D37"/>
    <mergeCell ref="A25:D25"/>
    <mergeCell ref="A12:E12"/>
    <mergeCell ref="B14:E14"/>
    <mergeCell ref="B15:E15"/>
    <mergeCell ref="B16:E16"/>
    <mergeCell ref="A17:D17"/>
    <mergeCell ref="A18:D18"/>
    <mergeCell ref="A19:D19"/>
    <mergeCell ref="A20:D20"/>
    <mergeCell ref="A21:D21"/>
    <mergeCell ref="A22:D22"/>
    <mergeCell ref="B24:E24"/>
  </mergeCells>
  <printOptions horizontalCentered="1"/>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4A67C-22B2-4921-A61E-52483B5729D7}">
  <sheetPr>
    <tabColor theme="4"/>
  </sheetPr>
  <dimension ref="A1:F239"/>
  <sheetViews>
    <sheetView view="pageBreakPreview" topLeftCell="A232" zoomScale="90" zoomScaleNormal="95" zoomScaleSheetLayoutView="90" workbookViewId="0">
      <selection activeCell="G234" sqref="G234"/>
    </sheetView>
  </sheetViews>
  <sheetFormatPr defaultColWidth="9" defaultRowHeight="12.75" x14ac:dyDescent="0.2"/>
  <cols>
    <col min="1" max="1" width="19.25" style="35" customWidth="1"/>
    <col min="2" max="2" width="17.75" style="35" customWidth="1"/>
    <col min="3" max="3" width="13.625" style="35" bestFit="1"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1313</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248" t="s">
        <v>1314</v>
      </c>
      <c r="B11" s="249"/>
      <c r="C11" s="249"/>
      <c r="D11" s="249"/>
      <c r="E11" s="250"/>
    </row>
    <row r="12" spans="1:6" x14ac:dyDescent="0.2">
      <c r="A12" s="34"/>
      <c r="E12" s="36"/>
    </row>
    <row r="13" spans="1:6" ht="17.25" customHeight="1" x14ac:dyDescent="0.2">
      <c r="A13" s="44" t="s">
        <v>872</v>
      </c>
      <c r="B13" s="221" t="s">
        <v>182</v>
      </c>
      <c r="C13" s="221"/>
      <c r="D13" s="221"/>
      <c r="E13" s="221"/>
    </row>
    <row r="14" spans="1:6" ht="17.25" customHeight="1" x14ac:dyDescent="0.2">
      <c r="A14" s="44" t="s">
        <v>873</v>
      </c>
      <c r="B14" s="221" t="s">
        <v>184</v>
      </c>
      <c r="C14" s="221"/>
      <c r="D14" s="221"/>
      <c r="E14" s="221"/>
    </row>
    <row r="15" spans="1:6" s="43" customFormat="1" ht="55.5" hidden="1" customHeight="1" x14ac:dyDescent="0.2">
      <c r="A15" s="45" t="s">
        <v>874</v>
      </c>
      <c r="B15" s="214" t="s">
        <v>186</v>
      </c>
      <c r="C15" s="214"/>
      <c r="D15" s="214"/>
      <c r="E15" s="214"/>
      <c r="F15" s="71"/>
    </row>
    <row r="16" spans="1:6" s="53" customFormat="1" ht="16.5" hidden="1" customHeight="1" x14ac:dyDescent="0.2">
      <c r="A16" s="281" t="s">
        <v>821</v>
      </c>
      <c r="B16" s="282"/>
      <c r="C16" s="78"/>
      <c r="D16" s="78" t="s">
        <v>1034</v>
      </c>
      <c r="E16" s="73" t="s">
        <v>885</v>
      </c>
    </row>
    <row r="17" spans="1:6" s="53" customFormat="1" ht="16.5" hidden="1" customHeight="1" x14ac:dyDescent="0.2">
      <c r="A17" s="77" t="s">
        <v>1035</v>
      </c>
      <c r="B17" s="74"/>
      <c r="C17" s="74"/>
      <c r="D17" s="87">
        <f>SUM(E34:E46)</f>
        <v>912.91700000000003</v>
      </c>
      <c r="E17" s="73">
        <f>D17</f>
        <v>912.91700000000003</v>
      </c>
    </row>
    <row r="18" spans="1:6" s="53" customFormat="1" ht="16.5" hidden="1" customHeight="1" x14ac:dyDescent="0.2">
      <c r="A18" s="77" t="s">
        <v>1036</v>
      </c>
      <c r="B18" s="74"/>
      <c r="C18" s="74"/>
      <c r="D18" s="87">
        <f>SUM(E47:E53)</f>
        <v>190.57500000000002</v>
      </c>
      <c r="E18" s="73">
        <f t="shared" ref="E18:E25" si="0">D18</f>
        <v>190.57500000000002</v>
      </c>
    </row>
    <row r="19" spans="1:6" s="53" customFormat="1" ht="16.5" hidden="1" customHeight="1" x14ac:dyDescent="0.2">
      <c r="A19" s="77" t="s">
        <v>1037</v>
      </c>
      <c r="B19" s="74"/>
      <c r="C19" s="74"/>
      <c r="D19" s="87">
        <f>SUM(E54:E62)</f>
        <v>422.97700000000009</v>
      </c>
      <c r="E19" s="73">
        <f t="shared" si="0"/>
        <v>422.97700000000009</v>
      </c>
    </row>
    <row r="20" spans="1:6" s="53" customFormat="1" ht="16.5" hidden="1" customHeight="1" x14ac:dyDescent="0.2">
      <c r="A20" s="77" t="s">
        <v>1038</v>
      </c>
      <c r="B20" s="74"/>
      <c r="C20" s="74"/>
      <c r="D20" s="87">
        <f>SUM(E63:E69)</f>
        <v>307.476</v>
      </c>
      <c r="E20" s="73">
        <f t="shared" si="0"/>
        <v>307.476</v>
      </c>
    </row>
    <row r="21" spans="1:6" s="53" customFormat="1" ht="16.5" hidden="1" customHeight="1" x14ac:dyDescent="0.2">
      <c r="A21" s="77" t="s">
        <v>1039</v>
      </c>
      <c r="B21" s="74"/>
      <c r="C21" s="74"/>
      <c r="D21" s="87">
        <f>SUM(E70:E76)</f>
        <v>384.56</v>
      </c>
      <c r="E21" s="73">
        <f t="shared" si="0"/>
        <v>384.56</v>
      </c>
    </row>
    <row r="22" spans="1:6" s="53" customFormat="1" ht="16.5" hidden="1" customHeight="1" x14ac:dyDescent="0.2">
      <c r="A22" s="77" t="s">
        <v>1040</v>
      </c>
      <c r="B22" s="74"/>
      <c r="C22" s="74"/>
      <c r="D22" s="87">
        <f>SUM(E77:E79)</f>
        <v>223.755</v>
      </c>
      <c r="E22" s="73">
        <f t="shared" si="0"/>
        <v>223.755</v>
      </c>
    </row>
    <row r="23" spans="1:6" s="53" customFormat="1" ht="16.5" hidden="1" customHeight="1" x14ac:dyDescent="0.2">
      <c r="A23" s="113" t="s">
        <v>1041</v>
      </c>
      <c r="B23" s="74"/>
      <c r="C23" s="74"/>
      <c r="D23" s="87">
        <f>SUM(E80:E94)</f>
        <v>552.01599999999996</v>
      </c>
      <c r="E23" s="73">
        <f t="shared" si="0"/>
        <v>552.01599999999996</v>
      </c>
    </row>
    <row r="24" spans="1:6" s="53" customFormat="1" ht="16.5" hidden="1" customHeight="1" x14ac:dyDescent="0.2">
      <c r="A24" s="113" t="s">
        <v>1042</v>
      </c>
      <c r="B24" s="74"/>
      <c r="C24" s="74"/>
      <c r="D24" s="87">
        <f>SUM(E95:E109)</f>
        <v>530.38400000000013</v>
      </c>
      <c r="E24" s="73">
        <f t="shared" si="0"/>
        <v>530.38400000000013</v>
      </c>
    </row>
    <row r="25" spans="1:6" s="53" customFormat="1" ht="16.5" hidden="1" customHeight="1" x14ac:dyDescent="0.2">
      <c r="A25" s="113" t="s">
        <v>1043</v>
      </c>
      <c r="B25" s="74"/>
      <c r="C25" s="74"/>
      <c r="D25" s="87">
        <f>SUM(E110:E131)</f>
        <v>774.89900000000023</v>
      </c>
      <c r="E25" s="73">
        <f t="shared" si="0"/>
        <v>774.89900000000023</v>
      </c>
    </row>
    <row r="26" spans="1:6" s="53" customFormat="1" ht="16.5" hidden="1" customHeight="1" x14ac:dyDescent="0.2">
      <c r="A26" s="210" t="s">
        <v>1044</v>
      </c>
      <c r="B26" s="211"/>
      <c r="C26" s="211"/>
      <c r="D26" s="211"/>
      <c r="E26" s="73">
        <f>SUM(E17:E25)</f>
        <v>4299.5590000000002</v>
      </c>
    </row>
    <row r="27" spans="1:6" s="53" customFormat="1" ht="16.5" hidden="1" customHeight="1" x14ac:dyDescent="0.2">
      <c r="A27" s="210" t="s">
        <v>1045</v>
      </c>
      <c r="B27" s="211"/>
      <c r="C27" s="211"/>
      <c r="D27" s="211"/>
      <c r="E27" s="73">
        <v>3999.37</v>
      </c>
    </row>
    <row r="28" spans="1:6" s="43" customFormat="1" ht="14.25" hidden="1" customHeight="1" x14ac:dyDescent="0.2">
      <c r="A28" s="210" t="s">
        <v>1046</v>
      </c>
      <c r="B28" s="211"/>
      <c r="C28" s="211"/>
      <c r="D28" s="211"/>
      <c r="E28" s="50">
        <v>2573.87</v>
      </c>
    </row>
    <row r="29" spans="1:6" s="43" customFormat="1" ht="16.5" hidden="1" customHeight="1" x14ac:dyDescent="0.2">
      <c r="A29" s="212" t="s">
        <v>1047</v>
      </c>
      <c r="B29" s="213"/>
      <c r="C29" s="213"/>
      <c r="D29" s="213"/>
      <c r="E29" s="72">
        <f>E27-E28</f>
        <v>1425.5</v>
      </c>
    </row>
    <row r="30" spans="1:6" s="43" customFormat="1" ht="16.5" hidden="1" customHeight="1" x14ac:dyDescent="0.2">
      <c r="A30" s="212" t="s">
        <v>1048</v>
      </c>
      <c r="B30" s="213"/>
      <c r="C30" s="213"/>
      <c r="D30" s="213"/>
      <c r="E30" s="72">
        <f>E27-E26</f>
        <v>-300.18900000000031</v>
      </c>
    </row>
    <row r="31" spans="1:6" ht="14.25" hidden="1" customHeight="1" x14ac:dyDescent="0.2">
      <c r="A31" s="246"/>
      <c r="B31" s="247"/>
      <c r="C31" s="52"/>
      <c r="D31" s="52"/>
      <c r="E31" s="62"/>
    </row>
    <row r="32" spans="1:6" s="43" customFormat="1" ht="54.75" hidden="1" customHeight="1" x14ac:dyDescent="0.2">
      <c r="A32" s="45" t="s">
        <v>875</v>
      </c>
      <c r="B32" s="214" t="s">
        <v>188</v>
      </c>
      <c r="C32" s="214"/>
      <c r="D32" s="214"/>
      <c r="E32" s="214"/>
      <c r="F32" s="71"/>
    </row>
    <row r="33" spans="1:5" s="53" customFormat="1" ht="16.5" hidden="1" customHeight="1" x14ac:dyDescent="0.2">
      <c r="A33" s="281" t="s">
        <v>821</v>
      </c>
      <c r="B33" s="282"/>
      <c r="C33" s="84" t="s">
        <v>1049</v>
      </c>
      <c r="D33" s="84" t="s">
        <v>1034</v>
      </c>
      <c r="E33" s="114" t="s">
        <v>885</v>
      </c>
    </row>
    <row r="34" spans="1:5" s="53" customFormat="1" ht="16.5" hidden="1" customHeight="1" x14ac:dyDescent="0.2">
      <c r="A34" s="264" t="s">
        <v>1035</v>
      </c>
      <c r="B34" s="78" t="s">
        <v>913</v>
      </c>
      <c r="C34" s="87">
        <f>20*3.3</f>
        <v>66</v>
      </c>
      <c r="D34" s="87">
        <f>C34</f>
        <v>66</v>
      </c>
      <c r="E34" s="73">
        <f>D34</f>
        <v>66</v>
      </c>
    </row>
    <row r="35" spans="1:5" s="53" customFormat="1" ht="16.5" hidden="1" customHeight="1" x14ac:dyDescent="0.2">
      <c r="A35" s="266"/>
      <c r="B35" s="78" t="s">
        <v>881</v>
      </c>
      <c r="C35" s="87">
        <f>7*3.3</f>
        <v>23.099999999999998</v>
      </c>
      <c r="D35" s="87">
        <f t="shared" ref="D35:E50" si="1">C35</f>
        <v>23.099999999999998</v>
      </c>
      <c r="E35" s="73">
        <f t="shared" si="1"/>
        <v>23.099999999999998</v>
      </c>
    </row>
    <row r="36" spans="1:5" s="53" customFormat="1" ht="16.5" hidden="1" customHeight="1" x14ac:dyDescent="0.2">
      <c r="A36" s="266"/>
      <c r="B36" s="78" t="s">
        <v>882</v>
      </c>
      <c r="C36" s="87">
        <f>7*3.3</f>
        <v>23.099999999999998</v>
      </c>
      <c r="D36" s="87">
        <f t="shared" si="1"/>
        <v>23.099999999999998</v>
      </c>
      <c r="E36" s="73">
        <f t="shared" si="1"/>
        <v>23.099999999999998</v>
      </c>
    </row>
    <row r="37" spans="1:5" s="53" customFormat="1" ht="16.5" hidden="1" customHeight="1" x14ac:dyDescent="0.2">
      <c r="A37" s="266"/>
      <c r="B37" s="78" t="s">
        <v>906</v>
      </c>
      <c r="C37" s="87">
        <f>6.4*3.3</f>
        <v>21.12</v>
      </c>
      <c r="D37" s="87">
        <f t="shared" si="1"/>
        <v>21.12</v>
      </c>
      <c r="E37" s="73">
        <f t="shared" si="1"/>
        <v>21.12</v>
      </c>
    </row>
    <row r="38" spans="1:5" s="53" customFormat="1" ht="16.5" hidden="1" customHeight="1" x14ac:dyDescent="0.2">
      <c r="A38" s="266"/>
      <c r="B38" s="78" t="s">
        <v>880</v>
      </c>
      <c r="C38" s="87">
        <f>19.1*3.3</f>
        <v>63.03</v>
      </c>
      <c r="D38" s="87">
        <f t="shared" si="1"/>
        <v>63.03</v>
      </c>
      <c r="E38" s="73">
        <f t="shared" si="1"/>
        <v>63.03</v>
      </c>
    </row>
    <row r="39" spans="1:5" s="53" customFormat="1" ht="16.5" hidden="1" customHeight="1" x14ac:dyDescent="0.2">
      <c r="A39" s="266"/>
      <c r="B39" s="78" t="s">
        <v>1050</v>
      </c>
      <c r="C39" s="87">
        <f>22.1*3.3</f>
        <v>72.930000000000007</v>
      </c>
      <c r="D39" s="87">
        <f>C39</f>
        <v>72.930000000000007</v>
      </c>
      <c r="E39" s="73">
        <f t="shared" si="1"/>
        <v>72.930000000000007</v>
      </c>
    </row>
    <row r="40" spans="1:5" s="53" customFormat="1" ht="16.5" hidden="1" customHeight="1" x14ac:dyDescent="0.2">
      <c r="A40" s="266"/>
      <c r="B40" s="78" t="s">
        <v>1051</v>
      </c>
      <c r="C40" s="87">
        <f>19.8*3.3</f>
        <v>65.34</v>
      </c>
      <c r="D40" s="87">
        <f>C40</f>
        <v>65.34</v>
      </c>
      <c r="E40" s="73">
        <f t="shared" si="1"/>
        <v>65.34</v>
      </c>
    </row>
    <row r="41" spans="1:5" s="53" customFormat="1" ht="16.5" hidden="1" customHeight="1" x14ac:dyDescent="0.2">
      <c r="A41" s="266"/>
      <c r="B41" s="78" t="s">
        <v>1052</v>
      </c>
      <c r="C41" s="87">
        <f>19.8*3.3</f>
        <v>65.34</v>
      </c>
      <c r="D41" s="87">
        <f>C41</f>
        <v>65.34</v>
      </c>
      <c r="E41" s="73">
        <f t="shared" si="1"/>
        <v>65.34</v>
      </c>
    </row>
    <row r="42" spans="1:5" s="53" customFormat="1" ht="16.5" hidden="1" customHeight="1" x14ac:dyDescent="0.2">
      <c r="A42" s="266"/>
      <c r="B42" s="78" t="s">
        <v>1053</v>
      </c>
      <c r="C42" s="87">
        <f>27.46*3.3</f>
        <v>90.617999999999995</v>
      </c>
      <c r="D42" s="87">
        <f t="shared" ref="D42:D46" si="2">C42</f>
        <v>90.617999999999995</v>
      </c>
      <c r="E42" s="73">
        <f t="shared" si="1"/>
        <v>90.617999999999995</v>
      </c>
    </row>
    <row r="43" spans="1:5" s="53" customFormat="1" ht="16.5" hidden="1" customHeight="1" x14ac:dyDescent="0.2">
      <c r="A43" s="266"/>
      <c r="B43" s="78" t="s">
        <v>894</v>
      </c>
      <c r="C43" s="87">
        <f>(34.03*3.3)-(4*2.1*0.8)</f>
        <v>105.57899999999999</v>
      </c>
      <c r="D43" s="87">
        <f t="shared" si="2"/>
        <v>105.57899999999999</v>
      </c>
      <c r="E43" s="73">
        <f t="shared" si="1"/>
        <v>105.57899999999999</v>
      </c>
    </row>
    <row r="44" spans="1:5" s="53" customFormat="1" ht="16.5" hidden="1" customHeight="1" x14ac:dyDescent="0.2">
      <c r="A44" s="266"/>
      <c r="B44" s="78" t="s">
        <v>1054</v>
      </c>
      <c r="C44" s="87">
        <f>(5.81*4.5)</f>
        <v>26.145</v>
      </c>
      <c r="D44" s="87">
        <f t="shared" si="2"/>
        <v>26.145</v>
      </c>
      <c r="E44" s="73">
        <f t="shared" si="1"/>
        <v>26.145</v>
      </c>
    </row>
    <row r="45" spans="1:5" s="53" customFormat="1" ht="16.5" hidden="1" customHeight="1" x14ac:dyDescent="0.2">
      <c r="A45" s="266"/>
      <c r="B45" s="88" t="s">
        <v>1055</v>
      </c>
      <c r="C45" s="87">
        <f>(23.7+23.7+8.5)*3.05</f>
        <v>170.49499999999998</v>
      </c>
      <c r="D45" s="87">
        <f t="shared" si="2"/>
        <v>170.49499999999998</v>
      </c>
      <c r="E45" s="73">
        <f t="shared" si="1"/>
        <v>170.49499999999998</v>
      </c>
    </row>
    <row r="46" spans="1:5" s="53" customFormat="1" ht="16.5" hidden="1" customHeight="1" x14ac:dyDescent="0.2">
      <c r="A46" s="77" t="s">
        <v>1056</v>
      </c>
      <c r="B46" s="88" t="s">
        <v>1055</v>
      </c>
      <c r="C46" s="87">
        <f>(12.2*2.8)+(15.6*1.4)+(22.9*2.8)</f>
        <v>120.11999999999999</v>
      </c>
      <c r="D46" s="87">
        <f t="shared" si="2"/>
        <v>120.11999999999999</v>
      </c>
      <c r="E46" s="73">
        <f t="shared" si="1"/>
        <v>120.11999999999999</v>
      </c>
    </row>
    <row r="47" spans="1:5" s="53" customFormat="1" ht="16.5" hidden="1" customHeight="1" x14ac:dyDescent="0.2">
      <c r="A47" s="264" t="s">
        <v>1036</v>
      </c>
      <c r="B47" s="78" t="s">
        <v>897</v>
      </c>
      <c r="C47" s="87">
        <f>(7.3+1.9+1.77+0.45+2.25+4)*3</f>
        <v>53.009999999999991</v>
      </c>
      <c r="D47" s="87">
        <f>C47</f>
        <v>53.009999999999991</v>
      </c>
      <c r="E47" s="73">
        <f t="shared" si="1"/>
        <v>53.009999999999991</v>
      </c>
    </row>
    <row r="48" spans="1:5" s="53" customFormat="1" ht="16.5" hidden="1" customHeight="1" x14ac:dyDescent="0.2">
      <c r="A48" s="266"/>
      <c r="B48" s="78" t="s">
        <v>881</v>
      </c>
      <c r="C48" s="87">
        <f>7*3</f>
        <v>21</v>
      </c>
      <c r="D48" s="87">
        <f t="shared" ref="D48:E63" si="3">C48</f>
        <v>21</v>
      </c>
      <c r="E48" s="73">
        <f t="shared" si="1"/>
        <v>21</v>
      </c>
    </row>
    <row r="49" spans="1:5" s="53" customFormat="1" ht="16.5" hidden="1" customHeight="1" x14ac:dyDescent="0.2">
      <c r="A49" s="266"/>
      <c r="B49" s="78" t="s">
        <v>882</v>
      </c>
      <c r="C49" s="87">
        <f>7*3</f>
        <v>21</v>
      </c>
      <c r="D49" s="87">
        <f t="shared" si="3"/>
        <v>21</v>
      </c>
      <c r="E49" s="73">
        <f t="shared" si="1"/>
        <v>21</v>
      </c>
    </row>
    <row r="50" spans="1:5" s="53" customFormat="1" ht="16.5" hidden="1" customHeight="1" x14ac:dyDescent="0.2">
      <c r="A50" s="266"/>
      <c r="B50" s="78" t="s">
        <v>906</v>
      </c>
      <c r="C50" s="87">
        <f>6.38*3</f>
        <v>19.14</v>
      </c>
      <c r="D50" s="87">
        <f t="shared" si="3"/>
        <v>19.14</v>
      </c>
      <c r="E50" s="73">
        <f t="shared" si="1"/>
        <v>19.14</v>
      </c>
    </row>
    <row r="51" spans="1:5" s="53" customFormat="1" ht="16.5" hidden="1" customHeight="1" x14ac:dyDescent="0.2">
      <c r="A51" s="266"/>
      <c r="B51" s="78" t="s">
        <v>880</v>
      </c>
      <c r="C51" s="87">
        <f>(7.1*3)+(2*1.2)</f>
        <v>23.699999999999996</v>
      </c>
      <c r="D51" s="87">
        <f t="shared" si="3"/>
        <v>23.699999999999996</v>
      </c>
      <c r="E51" s="73">
        <f t="shared" si="3"/>
        <v>23.699999999999996</v>
      </c>
    </row>
    <row r="52" spans="1:5" s="53" customFormat="1" ht="16.5" hidden="1" customHeight="1" x14ac:dyDescent="0.2">
      <c r="A52" s="266"/>
      <c r="B52" s="78" t="s">
        <v>912</v>
      </c>
      <c r="C52" s="87">
        <f>8.86*3</f>
        <v>26.58</v>
      </c>
      <c r="D52" s="87">
        <f t="shared" si="3"/>
        <v>26.58</v>
      </c>
      <c r="E52" s="73">
        <f t="shared" si="3"/>
        <v>26.58</v>
      </c>
    </row>
    <row r="53" spans="1:5" s="53" customFormat="1" ht="16.5" hidden="1" customHeight="1" x14ac:dyDescent="0.2">
      <c r="A53" s="268"/>
      <c r="B53" s="78" t="s">
        <v>1054</v>
      </c>
      <c r="C53" s="87">
        <f>(5.81*4.5)</f>
        <v>26.145</v>
      </c>
      <c r="D53" s="87">
        <f t="shared" si="3"/>
        <v>26.145</v>
      </c>
      <c r="E53" s="73">
        <f t="shared" si="3"/>
        <v>26.145</v>
      </c>
    </row>
    <row r="54" spans="1:5" s="53" customFormat="1" ht="16.5" hidden="1" customHeight="1" x14ac:dyDescent="0.2">
      <c r="A54" s="264" t="s">
        <v>1037</v>
      </c>
      <c r="B54" s="78" t="s">
        <v>890</v>
      </c>
      <c r="C54" s="87">
        <f>19.92*2.7</f>
        <v>53.784000000000006</v>
      </c>
      <c r="D54" s="87">
        <f t="shared" si="3"/>
        <v>53.784000000000006</v>
      </c>
      <c r="E54" s="73">
        <f t="shared" si="3"/>
        <v>53.784000000000006</v>
      </c>
    </row>
    <row r="55" spans="1:5" s="53" customFormat="1" ht="16.5" hidden="1" customHeight="1" x14ac:dyDescent="0.2">
      <c r="A55" s="266"/>
      <c r="B55" s="78" t="s">
        <v>891</v>
      </c>
      <c r="C55" s="87">
        <f>14.8*2.7</f>
        <v>39.960000000000008</v>
      </c>
      <c r="D55" s="87">
        <f t="shared" si="3"/>
        <v>39.960000000000008</v>
      </c>
      <c r="E55" s="73">
        <f t="shared" si="3"/>
        <v>39.960000000000008</v>
      </c>
    </row>
    <row r="56" spans="1:5" s="53" customFormat="1" ht="16.5" hidden="1" customHeight="1" x14ac:dyDescent="0.2">
      <c r="A56" s="266"/>
      <c r="B56" s="78" t="s">
        <v>892</v>
      </c>
      <c r="C56" s="87">
        <f>14.8*2.7</f>
        <v>39.960000000000008</v>
      </c>
      <c r="D56" s="87">
        <f t="shared" si="3"/>
        <v>39.960000000000008</v>
      </c>
      <c r="E56" s="73">
        <f t="shared" si="3"/>
        <v>39.960000000000008</v>
      </c>
    </row>
    <row r="57" spans="1:5" s="53" customFormat="1" ht="16.5" hidden="1" customHeight="1" x14ac:dyDescent="0.2">
      <c r="A57" s="266"/>
      <c r="B57" s="78" t="s">
        <v>893</v>
      </c>
      <c r="C57" s="87">
        <f>16.84*2.7</f>
        <v>45.468000000000004</v>
      </c>
      <c r="D57" s="87">
        <f t="shared" si="3"/>
        <v>45.468000000000004</v>
      </c>
      <c r="E57" s="73">
        <f t="shared" si="3"/>
        <v>45.468000000000004</v>
      </c>
    </row>
    <row r="58" spans="1:5" s="53" customFormat="1" ht="16.5" hidden="1" customHeight="1" x14ac:dyDescent="0.2">
      <c r="A58" s="266"/>
      <c r="B58" s="78" t="s">
        <v>894</v>
      </c>
      <c r="C58" s="87">
        <f>19.4*2.7</f>
        <v>52.38</v>
      </c>
      <c r="D58" s="87">
        <f t="shared" si="3"/>
        <v>52.38</v>
      </c>
      <c r="E58" s="73">
        <f t="shared" si="3"/>
        <v>52.38</v>
      </c>
    </row>
    <row r="59" spans="1:5" s="53" customFormat="1" ht="16.5" hidden="1" customHeight="1" x14ac:dyDescent="0.2">
      <c r="A59" s="266"/>
      <c r="B59" s="78" t="s">
        <v>895</v>
      </c>
      <c r="C59" s="87">
        <f>17.35*2.7</f>
        <v>46.845000000000006</v>
      </c>
      <c r="D59" s="87">
        <f t="shared" si="3"/>
        <v>46.845000000000006</v>
      </c>
      <c r="E59" s="73">
        <f t="shared" si="3"/>
        <v>46.845000000000006</v>
      </c>
    </row>
    <row r="60" spans="1:5" s="53" customFormat="1" ht="16.5" hidden="1" customHeight="1" x14ac:dyDescent="0.2">
      <c r="A60" s="266"/>
      <c r="B60" s="78" t="s">
        <v>897</v>
      </c>
      <c r="C60" s="87">
        <f>28.3*2.7</f>
        <v>76.410000000000011</v>
      </c>
      <c r="D60" s="87">
        <f t="shared" si="3"/>
        <v>76.410000000000011</v>
      </c>
      <c r="E60" s="73">
        <f t="shared" si="3"/>
        <v>76.410000000000011</v>
      </c>
    </row>
    <row r="61" spans="1:5" s="53" customFormat="1" ht="16.5" hidden="1" customHeight="1" x14ac:dyDescent="0.2">
      <c r="A61" s="266"/>
      <c r="B61" s="78" t="s">
        <v>884</v>
      </c>
      <c r="C61" s="87">
        <f>(7*0.6)+(15.3*2.9)</f>
        <v>48.57</v>
      </c>
      <c r="D61" s="87">
        <f t="shared" si="3"/>
        <v>48.57</v>
      </c>
      <c r="E61" s="73">
        <f t="shared" si="3"/>
        <v>48.57</v>
      </c>
    </row>
    <row r="62" spans="1:5" s="53" customFormat="1" ht="16.5" hidden="1" customHeight="1" x14ac:dyDescent="0.2">
      <c r="A62" s="268"/>
      <c r="B62" s="78" t="s">
        <v>1054</v>
      </c>
      <c r="C62" s="87">
        <f>(7*2.8)</f>
        <v>19.599999999999998</v>
      </c>
      <c r="D62" s="87">
        <f t="shared" si="3"/>
        <v>19.599999999999998</v>
      </c>
      <c r="E62" s="73">
        <f t="shared" si="3"/>
        <v>19.599999999999998</v>
      </c>
    </row>
    <row r="63" spans="1:5" s="53" customFormat="1" ht="16.5" hidden="1" customHeight="1" x14ac:dyDescent="0.2">
      <c r="A63" s="264" t="s">
        <v>1038</v>
      </c>
      <c r="B63" s="78" t="s">
        <v>898</v>
      </c>
      <c r="C63" s="87">
        <f>9.96*2.7</f>
        <v>26.892000000000003</v>
      </c>
      <c r="D63" s="87">
        <f>C63</f>
        <v>26.892000000000003</v>
      </c>
      <c r="E63" s="73">
        <f t="shared" si="3"/>
        <v>26.892000000000003</v>
      </c>
    </row>
    <row r="64" spans="1:5" s="53" customFormat="1" ht="16.5" hidden="1" customHeight="1" x14ac:dyDescent="0.2">
      <c r="A64" s="266"/>
      <c r="B64" s="78" t="s">
        <v>899</v>
      </c>
      <c r="C64" s="87">
        <f>10.92*2.7</f>
        <v>29.484000000000002</v>
      </c>
      <c r="D64" s="87">
        <f t="shared" ref="D64:E88" si="4">C64</f>
        <v>29.484000000000002</v>
      </c>
      <c r="E64" s="73">
        <f t="shared" si="4"/>
        <v>29.484000000000002</v>
      </c>
    </row>
    <row r="65" spans="1:5" s="53" customFormat="1" ht="16.5" hidden="1" customHeight="1" x14ac:dyDescent="0.2">
      <c r="A65" s="266"/>
      <c r="B65" s="78" t="s">
        <v>900</v>
      </c>
      <c r="C65" s="87">
        <f>21.85*2.7</f>
        <v>58.995000000000005</v>
      </c>
      <c r="D65" s="87">
        <f t="shared" si="4"/>
        <v>58.995000000000005</v>
      </c>
      <c r="E65" s="73">
        <f t="shared" si="4"/>
        <v>58.995000000000005</v>
      </c>
    </row>
    <row r="66" spans="1:5" s="53" customFormat="1" ht="16.5" hidden="1" customHeight="1" x14ac:dyDescent="0.2">
      <c r="A66" s="266"/>
      <c r="B66" s="78" t="s">
        <v>896</v>
      </c>
      <c r="C66" s="87">
        <f>25.15*2.7</f>
        <v>67.905000000000001</v>
      </c>
      <c r="D66" s="87">
        <f t="shared" si="4"/>
        <v>67.905000000000001</v>
      </c>
      <c r="E66" s="73">
        <f t="shared" si="4"/>
        <v>67.905000000000001</v>
      </c>
    </row>
    <row r="67" spans="1:5" s="53" customFormat="1" ht="16.5" hidden="1" customHeight="1" x14ac:dyDescent="0.2">
      <c r="A67" s="266"/>
      <c r="B67" s="78" t="s">
        <v>901</v>
      </c>
      <c r="C67" s="87">
        <f>14.5*2.7</f>
        <v>39.150000000000006</v>
      </c>
      <c r="D67" s="87">
        <f t="shared" si="4"/>
        <v>39.150000000000006</v>
      </c>
      <c r="E67" s="73">
        <f t="shared" si="4"/>
        <v>39.150000000000006</v>
      </c>
    </row>
    <row r="68" spans="1:5" s="53" customFormat="1" ht="16.5" hidden="1" customHeight="1" x14ac:dyDescent="0.2">
      <c r="A68" s="266"/>
      <c r="B68" s="78" t="s">
        <v>902</v>
      </c>
      <c r="C68" s="87">
        <f>14.24*2.7</f>
        <v>38.448</v>
      </c>
      <c r="D68" s="87">
        <f t="shared" si="4"/>
        <v>38.448</v>
      </c>
      <c r="E68" s="73">
        <f t="shared" si="4"/>
        <v>38.448</v>
      </c>
    </row>
    <row r="69" spans="1:5" s="53" customFormat="1" ht="16.5" hidden="1" customHeight="1" x14ac:dyDescent="0.2">
      <c r="A69" s="268"/>
      <c r="B69" s="78" t="s">
        <v>903</v>
      </c>
      <c r="C69" s="87">
        <f>17.26*2.7</f>
        <v>46.602000000000004</v>
      </c>
      <c r="D69" s="87">
        <f t="shared" si="4"/>
        <v>46.602000000000004</v>
      </c>
      <c r="E69" s="73">
        <f t="shared" si="4"/>
        <v>46.602000000000004</v>
      </c>
    </row>
    <row r="70" spans="1:5" s="53" customFormat="1" ht="16.5" hidden="1" customHeight="1" x14ac:dyDescent="0.2">
      <c r="A70" s="264" t="s">
        <v>1039</v>
      </c>
      <c r="B70" s="78" t="s">
        <v>914</v>
      </c>
      <c r="C70" s="87">
        <f>20.14*3.5</f>
        <v>70.490000000000009</v>
      </c>
      <c r="D70" s="87">
        <f t="shared" si="4"/>
        <v>70.490000000000009</v>
      </c>
      <c r="E70" s="73">
        <f t="shared" si="4"/>
        <v>70.490000000000009</v>
      </c>
    </row>
    <row r="71" spans="1:5" s="53" customFormat="1" ht="24.75" hidden="1" customHeight="1" x14ac:dyDescent="0.2">
      <c r="A71" s="266"/>
      <c r="B71" s="78" t="s">
        <v>1057</v>
      </c>
      <c r="C71" s="87">
        <f>20.4*3.5</f>
        <v>71.399999999999991</v>
      </c>
      <c r="D71" s="87">
        <f t="shared" si="4"/>
        <v>71.399999999999991</v>
      </c>
      <c r="E71" s="73">
        <f t="shared" si="4"/>
        <v>71.399999999999991</v>
      </c>
    </row>
    <row r="72" spans="1:5" s="53" customFormat="1" ht="16.5" hidden="1" customHeight="1" x14ac:dyDescent="0.2">
      <c r="A72" s="266"/>
      <c r="B72" s="78" t="s">
        <v>903</v>
      </c>
      <c r="C72" s="74">
        <f>(22.78*3.5)</f>
        <v>79.73</v>
      </c>
      <c r="D72" s="87">
        <f t="shared" si="4"/>
        <v>79.73</v>
      </c>
      <c r="E72" s="73">
        <f t="shared" si="4"/>
        <v>79.73</v>
      </c>
    </row>
    <row r="73" spans="1:5" s="53" customFormat="1" ht="16.5" hidden="1" customHeight="1" x14ac:dyDescent="0.2">
      <c r="A73" s="266"/>
      <c r="B73" s="78" t="s">
        <v>1058</v>
      </c>
      <c r="C73" s="74">
        <f>19*3.5</f>
        <v>66.5</v>
      </c>
      <c r="D73" s="87">
        <f t="shared" si="4"/>
        <v>66.5</v>
      </c>
      <c r="E73" s="73">
        <f t="shared" si="4"/>
        <v>66.5</v>
      </c>
    </row>
    <row r="74" spans="1:5" s="53" customFormat="1" ht="16.5" hidden="1" customHeight="1" x14ac:dyDescent="0.2">
      <c r="A74" s="266"/>
      <c r="B74" s="78" t="s">
        <v>884</v>
      </c>
      <c r="C74" s="87">
        <f>(7*0.6)+(15.3*3.5)</f>
        <v>57.750000000000007</v>
      </c>
      <c r="D74" s="87">
        <f t="shared" si="4"/>
        <v>57.750000000000007</v>
      </c>
      <c r="E74" s="73">
        <f t="shared" si="4"/>
        <v>57.750000000000007</v>
      </c>
    </row>
    <row r="75" spans="1:5" s="53" customFormat="1" ht="16.5" hidden="1" customHeight="1" x14ac:dyDescent="0.2">
      <c r="A75" s="266"/>
      <c r="B75" s="78" t="s">
        <v>1054</v>
      </c>
      <c r="C75" s="87">
        <f>(7*3.8)</f>
        <v>26.599999999999998</v>
      </c>
      <c r="D75" s="87">
        <f t="shared" si="4"/>
        <v>26.599999999999998</v>
      </c>
      <c r="E75" s="73">
        <f t="shared" si="4"/>
        <v>26.599999999999998</v>
      </c>
    </row>
    <row r="76" spans="1:5" s="53" customFormat="1" ht="23.25" hidden="1" customHeight="1" x14ac:dyDescent="0.2">
      <c r="A76" s="268"/>
      <c r="B76" s="78" t="s">
        <v>1059</v>
      </c>
      <c r="C76" s="87">
        <f>9.3*1.3</f>
        <v>12.090000000000002</v>
      </c>
      <c r="D76" s="87">
        <f t="shared" si="4"/>
        <v>12.090000000000002</v>
      </c>
      <c r="E76" s="73">
        <f t="shared" si="4"/>
        <v>12.090000000000002</v>
      </c>
    </row>
    <row r="77" spans="1:5" s="53" customFormat="1" ht="16.5" hidden="1" customHeight="1" x14ac:dyDescent="0.2">
      <c r="A77" s="264" t="s">
        <v>1040</v>
      </c>
      <c r="B77" s="78" t="s">
        <v>1060</v>
      </c>
      <c r="C77" s="87">
        <f>31.11*3.5</f>
        <v>108.88499999999999</v>
      </c>
      <c r="D77" s="87">
        <f t="shared" si="4"/>
        <v>108.88499999999999</v>
      </c>
      <c r="E77" s="73">
        <f t="shared" si="4"/>
        <v>108.88499999999999</v>
      </c>
    </row>
    <row r="78" spans="1:5" s="53" customFormat="1" ht="16.5" hidden="1" customHeight="1" x14ac:dyDescent="0.2">
      <c r="A78" s="266"/>
      <c r="B78" s="78" t="s">
        <v>915</v>
      </c>
      <c r="C78" s="74">
        <f>10.9*3.5</f>
        <v>38.15</v>
      </c>
      <c r="D78" s="87">
        <f t="shared" si="4"/>
        <v>38.15</v>
      </c>
      <c r="E78" s="73">
        <f t="shared" si="4"/>
        <v>38.15</v>
      </c>
    </row>
    <row r="79" spans="1:5" s="53" customFormat="1" ht="16.5" hidden="1" customHeight="1" x14ac:dyDescent="0.2">
      <c r="A79" s="268"/>
      <c r="B79" s="78" t="s">
        <v>919</v>
      </c>
      <c r="C79" s="74">
        <f>21.92*3.5</f>
        <v>76.72</v>
      </c>
      <c r="D79" s="87">
        <f t="shared" si="4"/>
        <v>76.72</v>
      </c>
      <c r="E79" s="73">
        <f t="shared" si="4"/>
        <v>76.72</v>
      </c>
    </row>
    <row r="80" spans="1:5" s="53" customFormat="1" ht="16.5" hidden="1" customHeight="1" x14ac:dyDescent="0.2">
      <c r="A80" s="264" t="s">
        <v>1061</v>
      </c>
      <c r="B80" s="78" t="s">
        <v>903</v>
      </c>
      <c r="C80" s="74">
        <f>(19.7*2.5)-(1.1*4.5)</f>
        <v>44.3</v>
      </c>
      <c r="D80" s="87">
        <f t="shared" si="4"/>
        <v>44.3</v>
      </c>
      <c r="E80" s="73">
        <f t="shared" si="4"/>
        <v>44.3</v>
      </c>
    </row>
    <row r="81" spans="1:6" s="53" customFormat="1" ht="16.5" hidden="1" customHeight="1" x14ac:dyDescent="0.2">
      <c r="A81" s="266"/>
      <c r="B81" s="78" t="s">
        <v>1058</v>
      </c>
      <c r="C81" s="87">
        <f>23.79*2.6</f>
        <v>61.853999999999999</v>
      </c>
      <c r="D81" s="87">
        <f t="shared" si="4"/>
        <v>61.853999999999999</v>
      </c>
      <c r="E81" s="73">
        <f t="shared" si="4"/>
        <v>61.853999999999999</v>
      </c>
    </row>
    <row r="82" spans="1:6" s="53" customFormat="1" ht="16.5" hidden="1" customHeight="1" x14ac:dyDescent="0.2">
      <c r="A82" s="266"/>
      <c r="B82" s="78" t="s">
        <v>916</v>
      </c>
      <c r="C82" s="87">
        <f>8.3*2.6</f>
        <v>21.580000000000002</v>
      </c>
      <c r="D82" s="87">
        <f t="shared" si="4"/>
        <v>21.580000000000002</v>
      </c>
      <c r="E82" s="73">
        <f t="shared" si="4"/>
        <v>21.580000000000002</v>
      </c>
    </row>
    <row r="83" spans="1:6" s="53" customFormat="1" ht="16.5" hidden="1" customHeight="1" x14ac:dyDescent="0.2">
      <c r="A83" s="266"/>
      <c r="B83" s="78" t="s">
        <v>881</v>
      </c>
      <c r="C83" s="87">
        <f>7.2*2.6</f>
        <v>18.720000000000002</v>
      </c>
      <c r="D83" s="87">
        <f t="shared" si="4"/>
        <v>18.720000000000002</v>
      </c>
      <c r="E83" s="73">
        <f t="shared" si="4"/>
        <v>18.720000000000002</v>
      </c>
    </row>
    <row r="84" spans="1:6" s="53" customFormat="1" ht="16.5" hidden="1" customHeight="1" x14ac:dyDescent="0.2">
      <c r="A84" s="266"/>
      <c r="B84" s="78" t="s">
        <v>882</v>
      </c>
      <c r="C84" s="87">
        <f>7.2*2.6</f>
        <v>18.720000000000002</v>
      </c>
      <c r="D84" s="87">
        <f t="shared" si="4"/>
        <v>18.720000000000002</v>
      </c>
      <c r="E84" s="73">
        <f t="shared" si="4"/>
        <v>18.720000000000002</v>
      </c>
    </row>
    <row r="85" spans="1:6" s="53" customFormat="1" ht="16.5" hidden="1" customHeight="1" x14ac:dyDescent="0.2">
      <c r="A85" s="266"/>
      <c r="B85" s="78" t="s">
        <v>913</v>
      </c>
      <c r="C85" s="87">
        <f>19.83*2.6</f>
        <v>51.558</v>
      </c>
      <c r="D85" s="87">
        <f t="shared" si="4"/>
        <v>51.558</v>
      </c>
      <c r="E85" s="73">
        <f t="shared" si="4"/>
        <v>51.558</v>
      </c>
    </row>
    <row r="86" spans="1:6" s="53" customFormat="1" ht="16.5" hidden="1" customHeight="1" x14ac:dyDescent="0.2">
      <c r="A86" s="266"/>
      <c r="B86" s="78" t="s">
        <v>894</v>
      </c>
      <c r="C86" s="87">
        <f>21.96*2.6</f>
        <v>57.096000000000004</v>
      </c>
      <c r="D86" s="87">
        <f t="shared" si="4"/>
        <v>57.096000000000004</v>
      </c>
      <c r="E86" s="73">
        <f t="shared" si="4"/>
        <v>57.096000000000004</v>
      </c>
    </row>
    <row r="87" spans="1:6" s="53" customFormat="1" ht="16.5" hidden="1" customHeight="1" x14ac:dyDescent="0.2">
      <c r="A87" s="266"/>
      <c r="B87" s="78" t="s">
        <v>884</v>
      </c>
      <c r="C87" s="87">
        <f>(7*0.6)+(15.3*2.9)</f>
        <v>48.57</v>
      </c>
      <c r="D87" s="87">
        <f t="shared" si="4"/>
        <v>48.57</v>
      </c>
      <c r="E87" s="73">
        <f t="shared" si="4"/>
        <v>48.57</v>
      </c>
    </row>
    <row r="88" spans="1:6" s="53" customFormat="1" ht="16.5" hidden="1" customHeight="1" x14ac:dyDescent="0.2">
      <c r="A88" s="268"/>
      <c r="B88" s="78" t="s">
        <v>1054</v>
      </c>
      <c r="C88" s="87">
        <f>(7*2.8)</f>
        <v>19.599999999999998</v>
      </c>
      <c r="D88" s="87">
        <f t="shared" si="4"/>
        <v>19.599999999999998</v>
      </c>
      <c r="E88" s="73">
        <f t="shared" si="4"/>
        <v>19.599999999999998</v>
      </c>
    </row>
    <row r="89" spans="1:6" s="53" customFormat="1" ht="16.5" hidden="1" customHeight="1" x14ac:dyDescent="0.2">
      <c r="A89" s="264" t="s">
        <v>1062</v>
      </c>
      <c r="B89" s="78" t="s">
        <v>926</v>
      </c>
      <c r="C89" s="87">
        <f>21.19*2.9</f>
        <v>61.451000000000001</v>
      </c>
      <c r="D89" s="87">
        <f t="shared" ref="D89:E104" si="5">C89</f>
        <v>61.451000000000001</v>
      </c>
      <c r="E89" s="73">
        <f t="shared" si="5"/>
        <v>61.451000000000001</v>
      </c>
    </row>
    <row r="90" spans="1:6" s="53" customFormat="1" ht="16.5" hidden="1" customHeight="1" x14ac:dyDescent="0.2">
      <c r="A90" s="266"/>
      <c r="B90" s="78" t="s">
        <v>1063</v>
      </c>
      <c r="C90" s="87">
        <f>10.7*2.9</f>
        <v>31.029999999999998</v>
      </c>
      <c r="D90" s="87">
        <f t="shared" si="5"/>
        <v>31.029999999999998</v>
      </c>
      <c r="E90" s="73">
        <f t="shared" si="5"/>
        <v>31.029999999999998</v>
      </c>
    </row>
    <row r="91" spans="1:6" s="53" customFormat="1" ht="16.5" hidden="1" customHeight="1" x14ac:dyDescent="0.2">
      <c r="A91" s="266"/>
      <c r="B91" s="78" t="s">
        <v>919</v>
      </c>
      <c r="C91" s="87">
        <f>9.15*2.9</f>
        <v>26.535</v>
      </c>
      <c r="D91" s="87">
        <f t="shared" si="5"/>
        <v>26.535</v>
      </c>
      <c r="E91" s="73">
        <f t="shared" si="5"/>
        <v>26.535</v>
      </c>
      <c r="F91" s="43" t="s">
        <v>1064</v>
      </c>
    </row>
    <row r="92" spans="1:6" s="53" customFormat="1" ht="16.5" hidden="1" customHeight="1" x14ac:dyDescent="0.2">
      <c r="A92" s="266"/>
      <c r="B92" s="78" t="s">
        <v>1065</v>
      </c>
      <c r="C92" s="87">
        <f>17.61*2.9</f>
        <v>51.068999999999996</v>
      </c>
      <c r="D92" s="87">
        <f t="shared" si="5"/>
        <v>51.068999999999996</v>
      </c>
      <c r="E92" s="73">
        <f t="shared" si="5"/>
        <v>51.068999999999996</v>
      </c>
    </row>
    <row r="93" spans="1:6" s="53" customFormat="1" ht="16.5" hidden="1" customHeight="1" x14ac:dyDescent="0.2">
      <c r="A93" s="266"/>
      <c r="B93" s="78" t="s">
        <v>927</v>
      </c>
      <c r="C93" s="87">
        <f>5.1*2.9</f>
        <v>14.79</v>
      </c>
      <c r="D93" s="87">
        <f t="shared" si="5"/>
        <v>14.79</v>
      </c>
      <c r="E93" s="73">
        <f t="shared" si="5"/>
        <v>14.79</v>
      </c>
    </row>
    <row r="94" spans="1:6" s="53" customFormat="1" ht="16.5" hidden="1" customHeight="1" x14ac:dyDescent="0.2">
      <c r="A94" s="266"/>
      <c r="B94" s="78" t="s">
        <v>913</v>
      </c>
      <c r="C94" s="87">
        <f>8.67*2.9</f>
        <v>25.143000000000001</v>
      </c>
      <c r="D94" s="87">
        <f t="shared" si="5"/>
        <v>25.143000000000001</v>
      </c>
      <c r="E94" s="73">
        <f t="shared" si="5"/>
        <v>25.143000000000001</v>
      </c>
    </row>
    <row r="95" spans="1:6" s="53" customFormat="1" ht="16.5" hidden="1" customHeight="1" x14ac:dyDescent="0.2">
      <c r="A95" s="264" t="s">
        <v>1066</v>
      </c>
      <c r="B95" s="78" t="s">
        <v>903</v>
      </c>
      <c r="C95" s="74">
        <f>(19.7*2.5)-(1.1*4.5)</f>
        <v>44.3</v>
      </c>
      <c r="D95" s="87">
        <f t="shared" si="5"/>
        <v>44.3</v>
      </c>
      <c r="E95" s="73">
        <f t="shared" si="5"/>
        <v>44.3</v>
      </c>
    </row>
    <row r="96" spans="1:6" s="53" customFormat="1" ht="16.5" hidden="1" customHeight="1" x14ac:dyDescent="0.2">
      <c r="A96" s="266"/>
      <c r="B96" s="78" t="s">
        <v>1058</v>
      </c>
      <c r="C96" s="87">
        <f>23.79*2.6</f>
        <v>61.853999999999999</v>
      </c>
      <c r="D96" s="87">
        <f t="shared" si="5"/>
        <v>61.853999999999999</v>
      </c>
      <c r="E96" s="73">
        <f t="shared" si="5"/>
        <v>61.853999999999999</v>
      </c>
    </row>
    <row r="97" spans="1:6" s="53" customFormat="1" ht="16.5" hidden="1" customHeight="1" x14ac:dyDescent="0.2">
      <c r="A97" s="266"/>
      <c r="B97" s="78" t="s">
        <v>916</v>
      </c>
      <c r="C97" s="87">
        <f>8.3*2.6</f>
        <v>21.580000000000002</v>
      </c>
      <c r="D97" s="87">
        <f t="shared" si="5"/>
        <v>21.580000000000002</v>
      </c>
      <c r="E97" s="73">
        <f t="shared" si="5"/>
        <v>21.580000000000002</v>
      </c>
    </row>
    <row r="98" spans="1:6" s="53" customFormat="1" ht="16.5" hidden="1" customHeight="1" x14ac:dyDescent="0.2">
      <c r="A98" s="266"/>
      <c r="B98" s="78" t="s">
        <v>881</v>
      </c>
      <c r="C98" s="87">
        <f>7.2*2.6</f>
        <v>18.720000000000002</v>
      </c>
      <c r="D98" s="87">
        <f t="shared" si="5"/>
        <v>18.720000000000002</v>
      </c>
      <c r="E98" s="73">
        <f t="shared" si="5"/>
        <v>18.720000000000002</v>
      </c>
    </row>
    <row r="99" spans="1:6" s="53" customFormat="1" ht="16.5" hidden="1" customHeight="1" x14ac:dyDescent="0.2">
      <c r="A99" s="266"/>
      <c r="B99" s="78" t="s">
        <v>882</v>
      </c>
      <c r="C99" s="87">
        <f>7.2*2.6</f>
        <v>18.720000000000002</v>
      </c>
      <c r="D99" s="87">
        <f t="shared" si="5"/>
        <v>18.720000000000002</v>
      </c>
      <c r="E99" s="73">
        <f t="shared" si="5"/>
        <v>18.720000000000002</v>
      </c>
    </row>
    <row r="100" spans="1:6" s="53" customFormat="1" ht="16.5" hidden="1" customHeight="1" x14ac:dyDescent="0.2">
      <c r="A100" s="266"/>
      <c r="B100" s="78" t="s">
        <v>913</v>
      </c>
      <c r="C100" s="87">
        <f>11.51*2.6</f>
        <v>29.926000000000002</v>
      </c>
      <c r="D100" s="87">
        <f t="shared" si="5"/>
        <v>29.926000000000002</v>
      </c>
      <c r="E100" s="73">
        <f t="shared" si="5"/>
        <v>29.926000000000002</v>
      </c>
    </row>
    <row r="101" spans="1:6" s="53" customFormat="1" ht="16.5" hidden="1" customHeight="1" x14ac:dyDescent="0.2">
      <c r="A101" s="266"/>
      <c r="B101" s="78" t="s">
        <v>894</v>
      </c>
      <c r="C101" s="87">
        <f>21.96*2.6</f>
        <v>57.096000000000004</v>
      </c>
      <c r="D101" s="87">
        <f t="shared" si="5"/>
        <v>57.096000000000004</v>
      </c>
      <c r="E101" s="73">
        <f t="shared" si="5"/>
        <v>57.096000000000004</v>
      </c>
    </row>
    <row r="102" spans="1:6" s="53" customFormat="1" ht="16.5" hidden="1" customHeight="1" x14ac:dyDescent="0.2">
      <c r="A102" s="266"/>
      <c r="B102" s="78" t="s">
        <v>884</v>
      </c>
      <c r="C102" s="87">
        <f>(7*0.6)+(15.3*2.9)</f>
        <v>48.57</v>
      </c>
      <c r="D102" s="87">
        <f t="shared" si="5"/>
        <v>48.57</v>
      </c>
      <c r="E102" s="73">
        <f t="shared" si="5"/>
        <v>48.57</v>
      </c>
    </row>
    <row r="103" spans="1:6" s="53" customFormat="1" ht="16.5" hidden="1" customHeight="1" x14ac:dyDescent="0.2">
      <c r="A103" s="268"/>
      <c r="B103" s="78" t="s">
        <v>1054</v>
      </c>
      <c r="C103" s="87">
        <f>(7*2.8)</f>
        <v>19.599999999999998</v>
      </c>
      <c r="D103" s="87">
        <f t="shared" si="5"/>
        <v>19.599999999999998</v>
      </c>
      <c r="E103" s="73">
        <f t="shared" si="5"/>
        <v>19.599999999999998</v>
      </c>
    </row>
    <row r="104" spans="1:6" s="53" customFormat="1" ht="16.5" hidden="1" customHeight="1" x14ac:dyDescent="0.2">
      <c r="A104" s="264" t="s">
        <v>1067</v>
      </c>
      <c r="B104" s="78" t="s">
        <v>926</v>
      </c>
      <c r="C104" s="87">
        <f>21.19*2.9</f>
        <v>61.451000000000001</v>
      </c>
      <c r="D104" s="87">
        <f t="shared" si="5"/>
        <v>61.451000000000001</v>
      </c>
      <c r="E104" s="73">
        <f t="shared" si="5"/>
        <v>61.451000000000001</v>
      </c>
    </row>
    <row r="105" spans="1:6" s="53" customFormat="1" ht="16.5" hidden="1" customHeight="1" x14ac:dyDescent="0.2">
      <c r="A105" s="266"/>
      <c r="B105" s="78" t="s">
        <v>1063</v>
      </c>
      <c r="C105" s="87">
        <f>10.7*2.9</f>
        <v>31.029999999999998</v>
      </c>
      <c r="D105" s="87">
        <f t="shared" ref="D105:E120" si="6">C105</f>
        <v>31.029999999999998</v>
      </c>
      <c r="E105" s="73">
        <f t="shared" si="6"/>
        <v>31.029999999999998</v>
      </c>
    </row>
    <row r="106" spans="1:6" s="53" customFormat="1" ht="16.5" hidden="1" customHeight="1" x14ac:dyDescent="0.2">
      <c r="A106" s="266"/>
      <c r="B106" s="78" t="s">
        <v>919</v>
      </c>
      <c r="C106" s="87">
        <f>9.15*2.9</f>
        <v>26.535</v>
      </c>
      <c r="D106" s="87">
        <f t="shared" si="6"/>
        <v>26.535</v>
      </c>
      <c r="E106" s="73">
        <f t="shared" si="6"/>
        <v>26.535</v>
      </c>
      <c r="F106" s="43" t="s">
        <v>1064</v>
      </c>
    </row>
    <row r="107" spans="1:6" s="53" customFormat="1" ht="16.5" hidden="1" customHeight="1" x14ac:dyDescent="0.2">
      <c r="A107" s="266"/>
      <c r="B107" s="78" t="s">
        <v>1065</v>
      </c>
      <c r="C107" s="87">
        <f>17.61*2.9</f>
        <v>51.068999999999996</v>
      </c>
      <c r="D107" s="87">
        <f t="shared" si="6"/>
        <v>51.068999999999996</v>
      </c>
      <c r="E107" s="73">
        <f t="shared" si="6"/>
        <v>51.068999999999996</v>
      </c>
    </row>
    <row r="108" spans="1:6" s="53" customFormat="1" ht="16.5" hidden="1" customHeight="1" x14ac:dyDescent="0.2">
      <c r="A108" s="266"/>
      <c r="B108" s="78" t="s">
        <v>927</v>
      </c>
      <c r="C108" s="87">
        <f>5.1*2.9</f>
        <v>14.79</v>
      </c>
      <c r="D108" s="87">
        <f t="shared" si="6"/>
        <v>14.79</v>
      </c>
      <c r="E108" s="73">
        <f t="shared" si="6"/>
        <v>14.79</v>
      </c>
    </row>
    <row r="109" spans="1:6" s="53" customFormat="1" ht="16.5" hidden="1" customHeight="1" x14ac:dyDescent="0.2">
      <c r="A109" s="266"/>
      <c r="B109" s="78" t="s">
        <v>913</v>
      </c>
      <c r="C109" s="87">
        <f>8.67*2.9</f>
        <v>25.143000000000001</v>
      </c>
      <c r="D109" s="87">
        <f t="shared" si="6"/>
        <v>25.143000000000001</v>
      </c>
      <c r="E109" s="73">
        <f t="shared" si="6"/>
        <v>25.143000000000001</v>
      </c>
    </row>
    <row r="110" spans="1:6" s="53" customFormat="1" ht="16.5" hidden="1" customHeight="1" x14ac:dyDescent="0.2">
      <c r="A110" s="264" t="s">
        <v>1043</v>
      </c>
      <c r="B110" s="78" t="s">
        <v>903</v>
      </c>
      <c r="C110" s="87">
        <f>22.52*2.8</f>
        <v>63.055999999999997</v>
      </c>
      <c r="D110" s="87">
        <f t="shared" si="6"/>
        <v>63.055999999999997</v>
      </c>
      <c r="E110" s="73">
        <f t="shared" si="6"/>
        <v>63.055999999999997</v>
      </c>
    </row>
    <row r="111" spans="1:6" s="53" customFormat="1" ht="16.5" hidden="1" customHeight="1" x14ac:dyDescent="0.2">
      <c r="A111" s="266"/>
      <c r="B111" s="78" t="s">
        <v>1058</v>
      </c>
      <c r="C111" s="87">
        <f>11.7*2.8</f>
        <v>32.76</v>
      </c>
      <c r="D111" s="87">
        <f t="shared" si="6"/>
        <v>32.76</v>
      </c>
      <c r="E111" s="73">
        <f t="shared" si="6"/>
        <v>32.76</v>
      </c>
    </row>
    <row r="112" spans="1:6" s="53" customFormat="1" ht="16.5" hidden="1" customHeight="1" x14ac:dyDescent="0.2">
      <c r="A112" s="266"/>
      <c r="B112" s="78" t="s">
        <v>916</v>
      </c>
      <c r="C112" s="87">
        <f>8.3*2.6</f>
        <v>21.580000000000002</v>
      </c>
      <c r="D112" s="87">
        <f t="shared" si="6"/>
        <v>21.580000000000002</v>
      </c>
      <c r="E112" s="73">
        <f t="shared" si="6"/>
        <v>21.580000000000002</v>
      </c>
    </row>
    <row r="113" spans="1:5" s="53" customFormat="1" ht="16.5" hidden="1" customHeight="1" x14ac:dyDescent="0.2">
      <c r="A113" s="266"/>
      <c r="B113" s="78" t="s">
        <v>881</v>
      </c>
      <c r="C113" s="87">
        <f>7.2*2.6</f>
        <v>18.720000000000002</v>
      </c>
      <c r="D113" s="87">
        <f t="shared" si="6"/>
        <v>18.720000000000002</v>
      </c>
      <c r="E113" s="73">
        <f t="shared" si="6"/>
        <v>18.720000000000002</v>
      </c>
    </row>
    <row r="114" spans="1:5" s="53" customFormat="1" ht="16.5" hidden="1" customHeight="1" x14ac:dyDescent="0.2">
      <c r="A114" s="266"/>
      <c r="B114" s="78" t="s">
        <v>882</v>
      </c>
      <c r="C114" s="87">
        <f>7.2*2.6</f>
        <v>18.720000000000002</v>
      </c>
      <c r="D114" s="87">
        <f t="shared" si="6"/>
        <v>18.720000000000002</v>
      </c>
      <c r="E114" s="73">
        <f t="shared" si="6"/>
        <v>18.720000000000002</v>
      </c>
    </row>
    <row r="115" spans="1:5" s="53" customFormat="1" ht="16.5" hidden="1" customHeight="1" x14ac:dyDescent="0.2">
      <c r="A115" s="266"/>
      <c r="B115" s="78" t="s">
        <v>913</v>
      </c>
      <c r="C115" s="87">
        <f>21.85*2.8</f>
        <v>61.18</v>
      </c>
      <c r="D115" s="87">
        <f t="shared" si="6"/>
        <v>61.18</v>
      </c>
      <c r="E115" s="73">
        <f t="shared" si="6"/>
        <v>61.18</v>
      </c>
    </row>
    <row r="116" spans="1:5" s="53" customFormat="1" ht="16.5" hidden="1" customHeight="1" x14ac:dyDescent="0.2">
      <c r="A116" s="266"/>
      <c r="B116" s="78" t="s">
        <v>894</v>
      </c>
      <c r="C116" s="87">
        <f>8.23*2.8</f>
        <v>23.044</v>
      </c>
      <c r="D116" s="87">
        <f t="shared" si="6"/>
        <v>23.044</v>
      </c>
      <c r="E116" s="73">
        <f t="shared" si="6"/>
        <v>23.044</v>
      </c>
    </row>
    <row r="117" spans="1:5" s="53" customFormat="1" ht="16.5" hidden="1" customHeight="1" x14ac:dyDescent="0.2">
      <c r="A117" s="266"/>
      <c r="B117" s="78" t="s">
        <v>884</v>
      </c>
      <c r="C117" s="87">
        <f>(7*0.6)+(15.3*2.9)</f>
        <v>48.57</v>
      </c>
      <c r="D117" s="87">
        <f t="shared" si="6"/>
        <v>48.57</v>
      </c>
      <c r="E117" s="73">
        <f t="shared" si="6"/>
        <v>48.57</v>
      </c>
    </row>
    <row r="118" spans="1:5" s="53" customFormat="1" ht="16.5" hidden="1" customHeight="1" x14ac:dyDescent="0.2">
      <c r="A118" s="268"/>
      <c r="B118" s="78" t="s">
        <v>1054</v>
      </c>
      <c r="C118" s="87">
        <f>(7*2.8)</f>
        <v>19.599999999999998</v>
      </c>
      <c r="D118" s="87">
        <f t="shared" si="6"/>
        <v>19.599999999999998</v>
      </c>
      <c r="E118" s="73">
        <f t="shared" si="6"/>
        <v>19.599999999999998</v>
      </c>
    </row>
    <row r="119" spans="1:5" s="53" customFormat="1" ht="16.5" hidden="1" customHeight="1" x14ac:dyDescent="0.2">
      <c r="A119" s="264" t="s">
        <v>1068</v>
      </c>
      <c r="B119" s="78" t="s">
        <v>926</v>
      </c>
      <c r="C119" s="87">
        <f>21.19*2.9</f>
        <v>61.451000000000001</v>
      </c>
      <c r="D119" s="87">
        <f t="shared" si="6"/>
        <v>61.451000000000001</v>
      </c>
      <c r="E119" s="73">
        <f t="shared" si="6"/>
        <v>61.451000000000001</v>
      </c>
    </row>
    <row r="120" spans="1:5" s="53" customFormat="1" ht="16.5" hidden="1" customHeight="1" x14ac:dyDescent="0.2">
      <c r="A120" s="266"/>
      <c r="B120" s="78" t="s">
        <v>1063</v>
      </c>
      <c r="C120" s="87">
        <f>10.7*2.9</f>
        <v>31.029999999999998</v>
      </c>
      <c r="D120" s="87">
        <f t="shared" si="6"/>
        <v>31.029999999999998</v>
      </c>
      <c r="E120" s="73">
        <f t="shared" si="6"/>
        <v>31.029999999999998</v>
      </c>
    </row>
    <row r="121" spans="1:5" s="53" customFormat="1" ht="16.5" hidden="1" customHeight="1" x14ac:dyDescent="0.2">
      <c r="A121" s="266"/>
      <c r="B121" s="78" t="s">
        <v>1065</v>
      </c>
      <c r="C121" s="87">
        <f>17.61*2.9</f>
        <v>51.068999999999996</v>
      </c>
      <c r="D121" s="87">
        <f t="shared" ref="D121:E131" si="7">C121</f>
        <v>51.068999999999996</v>
      </c>
      <c r="E121" s="73">
        <f t="shared" si="7"/>
        <v>51.068999999999996</v>
      </c>
    </row>
    <row r="122" spans="1:5" s="53" customFormat="1" ht="16.5" hidden="1" customHeight="1" x14ac:dyDescent="0.2">
      <c r="A122" s="266"/>
      <c r="B122" s="78" t="s">
        <v>927</v>
      </c>
      <c r="C122" s="87">
        <f>5.1*2.9</f>
        <v>14.79</v>
      </c>
      <c r="D122" s="87">
        <f t="shared" si="7"/>
        <v>14.79</v>
      </c>
      <c r="E122" s="73">
        <f t="shared" si="7"/>
        <v>14.79</v>
      </c>
    </row>
    <row r="123" spans="1:5" s="53" customFormat="1" ht="16.5" hidden="1" customHeight="1" x14ac:dyDescent="0.2">
      <c r="A123" s="266"/>
      <c r="B123" s="78" t="s">
        <v>913</v>
      </c>
      <c r="C123" s="87">
        <f>8.67*2.9</f>
        <v>25.143000000000001</v>
      </c>
      <c r="D123" s="87">
        <f t="shared" si="7"/>
        <v>25.143000000000001</v>
      </c>
      <c r="E123" s="73">
        <f t="shared" si="7"/>
        <v>25.143000000000001</v>
      </c>
    </row>
    <row r="124" spans="1:5" s="53" customFormat="1" ht="16.5" hidden="1" customHeight="1" x14ac:dyDescent="0.2">
      <c r="A124" s="264" t="s">
        <v>1069</v>
      </c>
      <c r="B124" s="78" t="s">
        <v>903</v>
      </c>
      <c r="C124" s="87">
        <f>22.52*2.8</f>
        <v>63.055999999999997</v>
      </c>
      <c r="D124" s="87">
        <f t="shared" si="7"/>
        <v>63.055999999999997</v>
      </c>
      <c r="E124" s="73">
        <f t="shared" si="7"/>
        <v>63.055999999999997</v>
      </c>
    </row>
    <row r="125" spans="1:5" s="53" customFormat="1" ht="16.5" hidden="1" customHeight="1" x14ac:dyDescent="0.2">
      <c r="A125" s="266"/>
      <c r="B125" s="78" t="s">
        <v>1058</v>
      </c>
      <c r="C125" s="87">
        <f>11.7*2.8</f>
        <v>32.76</v>
      </c>
      <c r="D125" s="87">
        <f t="shared" si="7"/>
        <v>32.76</v>
      </c>
      <c r="E125" s="73">
        <f t="shared" si="7"/>
        <v>32.76</v>
      </c>
    </row>
    <row r="126" spans="1:5" s="53" customFormat="1" ht="16.5" hidden="1" customHeight="1" x14ac:dyDescent="0.2">
      <c r="A126" s="266"/>
      <c r="B126" s="78" t="s">
        <v>916</v>
      </c>
      <c r="C126" s="87">
        <f>8.3*2.6</f>
        <v>21.580000000000002</v>
      </c>
      <c r="D126" s="87">
        <f t="shared" si="7"/>
        <v>21.580000000000002</v>
      </c>
      <c r="E126" s="73">
        <f t="shared" si="7"/>
        <v>21.580000000000002</v>
      </c>
    </row>
    <row r="127" spans="1:5" s="53" customFormat="1" ht="16.5" hidden="1" customHeight="1" x14ac:dyDescent="0.2">
      <c r="A127" s="266"/>
      <c r="B127" s="78" t="s">
        <v>881</v>
      </c>
      <c r="C127" s="87">
        <f>7.2*2.6</f>
        <v>18.720000000000002</v>
      </c>
      <c r="D127" s="87">
        <f t="shared" si="7"/>
        <v>18.720000000000002</v>
      </c>
      <c r="E127" s="73">
        <f t="shared" si="7"/>
        <v>18.720000000000002</v>
      </c>
    </row>
    <row r="128" spans="1:5" s="53" customFormat="1" ht="16.5" hidden="1" customHeight="1" x14ac:dyDescent="0.2">
      <c r="A128" s="266"/>
      <c r="B128" s="78" t="s">
        <v>882</v>
      </c>
      <c r="C128" s="87">
        <f>7.2*2.6</f>
        <v>18.720000000000002</v>
      </c>
      <c r="D128" s="87">
        <f t="shared" si="7"/>
        <v>18.720000000000002</v>
      </c>
      <c r="E128" s="73">
        <f t="shared" si="7"/>
        <v>18.720000000000002</v>
      </c>
    </row>
    <row r="129" spans="1:5" s="53" customFormat="1" ht="16.5" hidden="1" customHeight="1" x14ac:dyDescent="0.2">
      <c r="A129" s="266"/>
      <c r="B129" s="78" t="s">
        <v>913</v>
      </c>
      <c r="C129" s="87">
        <f>21.85*2.8</f>
        <v>61.18</v>
      </c>
      <c r="D129" s="87">
        <f t="shared" si="7"/>
        <v>61.18</v>
      </c>
      <c r="E129" s="73">
        <f t="shared" si="7"/>
        <v>61.18</v>
      </c>
    </row>
    <row r="130" spans="1:5" s="53" customFormat="1" ht="16.5" hidden="1" customHeight="1" x14ac:dyDescent="0.2">
      <c r="A130" s="266"/>
      <c r="B130" s="78" t="s">
        <v>884</v>
      </c>
      <c r="C130" s="87">
        <f>(7*0.6)+(15.3*2.9)</f>
        <v>48.57</v>
      </c>
      <c r="D130" s="87">
        <f t="shared" si="7"/>
        <v>48.57</v>
      </c>
      <c r="E130" s="73">
        <f t="shared" si="7"/>
        <v>48.57</v>
      </c>
    </row>
    <row r="131" spans="1:5" s="53" customFormat="1" ht="16.5" hidden="1" customHeight="1" x14ac:dyDescent="0.2">
      <c r="A131" s="268"/>
      <c r="B131" s="78" t="s">
        <v>1054</v>
      </c>
      <c r="C131" s="87">
        <f>(7*2.8)</f>
        <v>19.599999999999998</v>
      </c>
      <c r="D131" s="87">
        <f t="shared" si="7"/>
        <v>19.599999999999998</v>
      </c>
      <c r="E131" s="73">
        <f t="shared" si="7"/>
        <v>19.599999999999998</v>
      </c>
    </row>
    <row r="132" spans="1:5" s="53" customFormat="1" ht="16.5" hidden="1" customHeight="1" x14ac:dyDescent="0.2">
      <c r="A132" s="210" t="s">
        <v>1070</v>
      </c>
      <c r="B132" s="211"/>
      <c r="C132" s="211"/>
      <c r="D132" s="211"/>
      <c r="E132" s="73">
        <f>SUM(E34:E131)</f>
        <v>4299.5590000000002</v>
      </c>
    </row>
    <row r="133" spans="1:5" s="53" customFormat="1" ht="16.5" hidden="1" customHeight="1" x14ac:dyDescent="0.2">
      <c r="A133" s="210" t="s">
        <v>1071</v>
      </c>
      <c r="B133" s="211"/>
      <c r="C133" s="211"/>
      <c r="D133" s="211"/>
      <c r="E133" s="73">
        <v>3999.37</v>
      </c>
    </row>
    <row r="134" spans="1:5" s="43" customFormat="1" ht="14.25" hidden="1" customHeight="1" x14ac:dyDescent="0.2">
      <c r="A134" s="210" t="s">
        <v>1072</v>
      </c>
      <c r="B134" s="211"/>
      <c r="C134" s="211"/>
      <c r="D134" s="211"/>
      <c r="E134" s="50">
        <v>2573.87</v>
      </c>
    </row>
    <row r="135" spans="1:5" s="43" customFormat="1" ht="16.5" hidden="1" customHeight="1" x14ac:dyDescent="0.2">
      <c r="A135" s="212" t="s">
        <v>1073</v>
      </c>
      <c r="B135" s="213"/>
      <c r="C135" s="213"/>
      <c r="D135" s="213"/>
      <c r="E135" s="72">
        <f>E133-E134</f>
        <v>1425.5</v>
      </c>
    </row>
    <row r="136" spans="1:5" s="43" customFormat="1" ht="16.5" hidden="1" customHeight="1" x14ac:dyDescent="0.2">
      <c r="A136" s="212" t="s">
        <v>1074</v>
      </c>
      <c r="B136" s="213"/>
      <c r="C136" s="213"/>
      <c r="D136" s="213"/>
      <c r="E136" s="72">
        <f>E133-E132</f>
        <v>-300.18900000000031</v>
      </c>
    </row>
    <row r="137" spans="1:5" s="43" customFormat="1" ht="54.75" hidden="1" customHeight="1" x14ac:dyDescent="0.2">
      <c r="A137" s="45" t="s">
        <v>966</v>
      </c>
      <c r="B137" s="214" t="s">
        <v>190</v>
      </c>
      <c r="C137" s="214"/>
      <c r="D137" s="214"/>
      <c r="E137" s="214"/>
    </row>
    <row r="138" spans="1:5" s="53" customFormat="1" ht="16.5" hidden="1" customHeight="1" x14ac:dyDescent="0.2">
      <c r="A138" s="281" t="s">
        <v>821</v>
      </c>
      <c r="B138" s="282"/>
      <c r="C138" s="84" t="s">
        <v>1049</v>
      </c>
      <c r="D138" s="84" t="s">
        <v>1075</v>
      </c>
      <c r="E138" s="114" t="s">
        <v>885</v>
      </c>
    </row>
    <row r="139" spans="1:5" s="53" customFormat="1" ht="16.5" hidden="1" customHeight="1" x14ac:dyDescent="0.2">
      <c r="A139" s="264" t="s">
        <v>1035</v>
      </c>
      <c r="B139" s="78" t="s">
        <v>1076</v>
      </c>
      <c r="C139" s="87">
        <f>12.12*2.6</f>
        <v>31.512</v>
      </c>
      <c r="D139" s="87">
        <v>1.0449999999999999</v>
      </c>
      <c r="E139" s="73">
        <f t="shared" ref="E139:E156" si="8">C139-D139</f>
        <v>30.466999999999999</v>
      </c>
    </row>
    <row r="140" spans="1:5" s="53" customFormat="1" ht="16.5" hidden="1" customHeight="1" x14ac:dyDescent="0.2">
      <c r="A140" s="266"/>
      <c r="B140" s="78" t="s">
        <v>1077</v>
      </c>
      <c r="C140" s="87">
        <f>12.12*2.6</f>
        <v>31.512</v>
      </c>
      <c r="D140" s="87">
        <v>1.04</v>
      </c>
      <c r="E140" s="73">
        <f t="shared" si="8"/>
        <v>30.472000000000001</v>
      </c>
    </row>
    <row r="141" spans="1:5" s="53" customFormat="1" ht="16.5" hidden="1" customHeight="1" x14ac:dyDescent="0.2">
      <c r="A141" s="266"/>
      <c r="B141" s="78" t="s">
        <v>881</v>
      </c>
      <c r="C141" s="87">
        <f>7.06*2.6</f>
        <v>18.355999999999998</v>
      </c>
      <c r="D141" s="87">
        <f>0.9*2.1</f>
        <v>1.8900000000000001</v>
      </c>
      <c r="E141" s="73">
        <f t="shared" si="8"/>
        <v>16.465999999999998</v>
      </c>
    </row>
    <row r="142" spans="1:5" s="53" customFormat="1" ht="16.5" hidden="1" customHeight="1" x14ac:dyDescent="0.2">
      <c r="A142" s="266"/>
      <c r="B142" s="78" t="s">
        <v>882</v>
      </c>
      <c r="C142" s="87">
        <f>7.06*2.6</f>
        <v>18.355999999999998</v>
      </c>
      <c r="D142" s="87">
        <f>0.9*2.1</f>
        <v>1.8900000000000001</v>
      </c>
      <c r="E142" s="73">
        <f t="shared" si="8"/>
        <v>16.465999999999998</v>
      </c>
    </row>
    <row r="143" spans="1:5" s="53" customFormat="1" ht="16.5" hidden="1" customHeight="1" x14ac:dyDescent="0.2">
      <c r="A143" s="266"/>
      <c r="B143" s="78" t="s">
        <v>906</v>
      </c>
      <c r="C143" s="87">
        <f>6.38*2.6</f>
        <v>16.588000000000001</v>
      </c>
      <c r="D143" s="87">
        <f>0.8*2.1</f>
        <v>1.6800000000000002</v>
      </c>
      <c r="E143" s="73">
        <f t="shared" si="8"/>
        <v>14.908000000000001</v>
      </c>
    </row>
    <row r="144" spans="1:5" s="53" customFormat="1" ht="16.5" hidden="1" customHeight="1" x14ac:dyDescent="0.2">
      <c r="A144" s="266"/>
      <c r="B144" s="78" t="s">
        <v>1265</v>
      </c>
      <c r="C144" s="87">
        <f>10.4*3</f>
        <v>31.200000000000003</v>
      </c>
      <c r="D144" s="87">
        <f>0.7*2.1</f>
        <v>1.47</v>
      </c>
      <c r="E144" s="73">
        <f t="shared" si="8"/>
        <v>29.730000000000004</v>
      </c>
    </row>
    <row r="145" spans="1:5" s="53" customFormat="1" ht="16.5" hidden="1" customHeight="1" x14ac:dyDescent="0.2">
      <c r="A145" s="266"/>
      <c r="B145" s="78" t="s">
        <v>880</v>
      </c>
      <c r="C145" s="87">
        <f>14.83*2.6</f>
        <v>38.558</v>
      </c>
      <c r="D145" s="87">
        <v>0</v>
      </c>
      <c r="E145" s="73">
        <f t="shared" si="8"/>
        <v>38.558</v>
      </c>
    </row>
    <row r="146" spans="1:5" s="53" customFormat="1" ht="16.5" hidden="1" customHeight="1" x14ac:dyDescent="0.2">
      <c r="A146" s="264" t="s">
        <v>1036</v>
      </c>
      <c r="B146" s="78" t="s">
        <v>881</v>
      </c>
      <c r="C146" s="87">
        <f>7.06*2.6</f>
        <v>18.355999999999998</v>
      </c>
      <c r="D146" s="87">
        <f>0.9*2.1</f>
        <v>1.8900000000000001</v>
      </c>
      <c r="E146" s="73">
        <f t="shared" si="8"/>
        <v>16.465999999999998</v>
      </c>
    </row>
    <row r="147" spans="1:5" s="53" customFormat="1" ht="16.5" hidden="1" customHeight="1" x14ac:dyDescent="0.2">
      <c r="A147" s="266"/>
      <c r="B147" s="78" t="s">
        <v>882</v>
      </c>
      <c r="C147" s="87">
        <f>7.06*2.6</f>
        <v>18.355999999999998</v>
      </c>
      <c r="D147" s="87">
        <f>0.9*2.1</f>
        <v>1.8900000000000001</v>
      </c>
      <c r="E147" s="73">
        <f t="shared" si="8"/>
        <v>16.465999999999998</v>
      </c>
    </row>
    <row r="148" spans="1:5" s="53" customFormat="1" ht="16.5" hidden="1" customHeight="1" x14ac:dyDescent="0.2">
      <c r="A148" s="266"/>
      <c r="B148" s="78" t="s">
        <v>906</v>
      </c>
      <c r="C148" s="87">
        <f>6.38*2.6</f>
        <v>16.588000000000001</v>
      </c>
      <c r="D148" s="87">
        <f>0.8*2.1</f>
        <v>1.6800000000000002</v>
      </c>
      <c r="E148" s="73">
        <f t="shared" si="8"/>
        <v>14.908000000000001</v>
      </c>
    </row>
    <row r="149" spans="1:5" s="53" customFormat="1" ht="16.5" hidden="1" customHeight="1" x14ac:dyDescent="0.2">
      <c r="A149" s="266"/>
      <c r="B149" s="78" t="s">
        <v>880</v>
      </c>
      <c r="C149" s="87">
        <f>((2.56+2.56+2)*2.6)+(2*1.2)</f>
        <v>20.911999999999999</v>
      </c>
      <c r="D149" s="87">
        <v>0</v>
      </c>
      <c r="E149" s="73">
        <f t="shared" si="8"/>
        <v>20.911999999999999</v>
      </c>
    </row>
    <row r="150" spans="1:5" s="53" customFormat="1" ht="16.5" hidden="1" customHeight="1" x14ac:dyDescent="0.2">
      <c r="A150" s="264" t="s">
        <v>1163</v>
      </c>
      <c r="B150" s="78" t="s">
        <v>1298</v>
      </c>
      <c r="C150" s="87">
        <f>14.8*2.6</f>
        <v>38.480000000000004</v>
      </c>
      <c r="D150" s="87">
        <f>0.9*2.1</f>
        <v>1.8900000000000001</v>
      </c>
      <c r="E150" s="73">
        <f t="shared" si="8"/>
        <v>36.590000000000003</v>
      </c>
    </row>
    <row r="151" spans="1:5" s="53" customFormat="1" ht="16.5" hidden="1" customHeight="1" x14ac:dyDescent="0.2">
      <c r="A151" s="266"/>
      <c r="B151" s="78" t="s">
        <v>1299</v>
      </c>
      <c r="C151" s="87">
        <f>14.8*2.6</f>
        <v>38.480000000000004</v>
      </c>
      <c r="D151" s="87">
        <f>0.9*2.1</f>
        <v>1.8900000000000001</v>
      </c>
      <c r="E151" s="73">
        <f t="shared" si="8"/>
        <v>36.590000000000003</v>
      </c>
    </row>
    <row r="152" spans="1:5" s="53" customFormat="1" ht="16.5" hidden="1" customHeight="1" x14ac:dyDescent="0.2">
      <c r="A152" s="266"/>
      <c r="B152" s="78" t="s">
        <v>1300</v>
      </c>
      <c r="C152" s="87">
        <f>14.54*2.6</f>
        <v>37.804000000000002</v>
      </c>
      <c r="D152" s="87">
        <f>0.8*2.1</f>
        <v>1.6800000000000002</v>
      </c>
      <c r="E152" s="73">
        <f t="shared" si="8"/>
        <v>36.124000000000002</v>
      </c>
    </row>
    <row r="153" spans="1:5" s="53" customFormat="1" ht="16.5" hidden="1" customHeight="1" x14ac:dyDescent="0.2">
      <c r="A153" s="266"/>
      <c r="B153" s="78" t="s">
        <v>1301</v>
      </c>
      <c r="C153" s="87">
        <f>14.23*2.6</f>
        <v>36.998000000000005</v>
      </c>
      <c r="D153" s="87">
        <f>0.8*2.1</f>
        <v>1.6800000000000002</v>
      </c>
      <c r="E153" s="73">
        <f t="shared" si="8"/>
        <v>35.318000000000005</v>
      </c>
    </row>
    <row r="154" spans="1:5" s="53" customFormat="1" ht="16.5" hidden="1" customHeight="1" x14ac:dyDescent="0.2">
      <c r="A154" s="264" t="s">
        <v>1022</v>
      </c>
      <c r="B154" s="78" t="s">
        <v>881</v>
      </c>
      <c r="C154" s="87">
        <f>7.2*2.6</f>
        <v>18.720000000000002</v>
      </c>
      <c r="D154" s="87">
        <f t="shared" ref="D154:D155" si="9">0.9*2.1</f>
        <v>1.8900000000000001</v>
      </c>
      <c r="E154" s="73">
        <f t="shared" si="8"/>
        <v>16.830000000000002</v>
      </c>
    </row>
    <row r="155" spans="1:5" s="53" customFormat="1" ht="16.5" hidden="1" customHeight="1" x14ac:dyDescent="0.2">
      <c r="A155" s="266"/>
      <c r="B155" s="78" t="s">
        <v>882</v>
      </c>
      <c r="C155" s="87">
        <f>7.2*2.6</f>
        <v>18.720000000000002</v>
      </c>
      <c r="D155" s="87">
        <f t="shared" si="9"/>
        <v>1.8900000000000001</v>
      </c>
      <c r="E155" s="73">
        <f t="shared" si="8"/>
        <v>16.830000000000002</v>
      </c>
    </row>
    <row r="156" spans="1:5" s="53" customFormat="1" ht="16.5" hidden="1" customHeight="1" x14ac:dyDescent="0.2">
      <c r="A156" s="266"/>
      <c r="B156" s="78" t="s">
        <v>1078</v>
      </c>
      <c r="C156" s="87">
        <f>7.7*2.6</f>
        <v>20.02</v>
      </c>
      <c r="D156" s="87">
        <f>0.9*2.1</f>
        <v>1.8900000000000001</v>
      </c>
      <c r="E156" s="73">
        <f t="shared" si="8"/>
        <v>18.13</v>
      </c>
    </row>
    <row r="157" spans="1:5" s="53" customFormat="1" ht="16.5" hidden="1" customHeight="1" x14ac:dyDescent="0.2">
      <c r="A157" s="268"/>
      <c r="B157" s="78" t="s">
        <v>963</v>
      </c>
      <c r="C157" s="87">
        <f>5.1*2.6*8</f>
        <v>106.08</v>
      </c>
      <c r="D157" s="87">
        <f>0.6*2.1*4</f>
        <v>5.04</v>
      </c>
      <c r="E157" s="73">
        <f>C157-D157</f>
        <v>101.03999999999999</v>
      </c>
    </row>
    <row r="158" spans="1:5" s="53" customFormat="1" ht="16.5" hidden="1" customHeight="1" x14ac:dyDescent="0.2">
      <c r="A158" s="264" t="s">
        <v>1079</v>
      </c>
      <c r="B158" s="78" t="s">
        <v>881</v>
      </c>
      <c r="C158" s="87">
        <f>7.2*2.6</f>
        <v>18.720000000000002</v>
      </c>
      <c r="D158" s="87">
        <f t="shared" ref="D158:D159" si="10">0.9*2.1</f>
        <v>1.8900000000000001</v>
      </c>
      <c r="E158" s="73">
        <f t="shared" ref="E158:E160" si="11">C158-D158</f>
        <v>16.830000000000002</v>
      </c>
    </row>
    <row r="159" spans="1:5" s="53" customFormat="1" ht="16.5" hidden="1" customHeight="1" x14ac:dyDescent="0.2">
      <c r="A159" s="266"/>
      <c r="B159" s="78" t="s">
        <v>882</v>
      </c>
      <c r="C159" s="87">
        <f>7.2*2.6</f>
        <v>18.720000000000002</v>
      </c>
      <c r="D159" s="87">
        <f t="shared" si="10"/>
        <v>1.8900000000000001</v>
      </c>
      <c r="E159" s="73">
        <f t="shared" si="11"/>
        <v>16.830000000000002</v>
      </c>
    </row>
    <row r="160" spans="1:5" s="53" customFormat="1" ht="16.5" hidden="1" customHeight="1" x14ac:dyDescent="0.2">
      <c r="A160" s="266"/>
      <c r="B160" s="78" t="s">
        <v>1078</v>
      </c>
      <c r="C160" s="87">
        <f>7.7*2.6</f>
        <v>20.02</v>
      </c>
      <c r="D160" s="87">
        <f>0.9*2.1</f>
        <v>1.8900000000000001</v>
      </c>
      <c r="E160" s="73">
        <f t="shared" si="11"/>
        <v>18.13</v>
      </c>
    </row>
    <row r="161" spans="1:6" s="53" customFormat="1" ht="16.5" hidden="1" customHeight="1" x14ac:dyDescent="0.2">
      <c r="A161" s="268"/>
      <c r="B161" s="78" t="s">
        <v>963</v>
      </c>
      <c r="C161" s="87">
        <f>5.1*2.6*8</f>
        <v>106.08</v>
      </c>
      <c r="D161" s="87">
        <f>0.6*2.1*4</f>
        <v>5.04</v>
      </c>
      <c r="E161" s="73">
        <f>C161-D161</f>
        <v>101.03999999999999</v>
      </c>
    </row>
    <row r="162" spans="1:6" s="53" customFormat="1" ht="16.5" hidden="1" customHeight="1" x14ac:dyDescent="0.2">
      <c r="A162" s="264" t="s">
        <v>1080</v>
      </c>
      <c r="B162" s="78" t="s">
        <v>881</v>
      </c>
      <c r="C162" s="87">
        <f>7.2*2.6</f>
        <v>18.720000000000002</v>
      </c>
      <c r="D162" s="87">
        <f t="shared" ref="D162:D163" si="12">0.9*2.1</f>
        <v>1.8900000000000001</v>
      </c>
      <c r="E162" s="73">
        <f t="shared" ref="E162:E164" si="13">C162-D162</f>
        <v>16.830000000000002</v>
      </c>
    </row>
    <row r="163" spans="1:6" s="53" customFormat="1" ht="16.5" hidden="1" customHeight="1" x14ac:dyDescent="0.2">
      <c r="A163" s="266"/>
      <c r="B163" s="78" t="s">
        <v>882</v>
      </c>
      <c r="C163" s="87">
        <f>7.2*2.6</f>
        <v>18.720000000000002</v>
      </c>
      <c r="D163" s="87">
        <f t="shared" si="12"/>
        <v>1.8900000000000001</v>
      </c>
      <c r="E163" s="73">
        <f t="shared" si="13"/>
        <v>16.830000000000002</v>
      </c>
    </row>
    <row r="164" spans="1:6" s="53" customFormat="1" ht="16.5" hidden="1" customHeight="1" x14ac:dyDescent="0.2">
      <c r="A164" s="266"/>
      <c r="B164" s="78" t="s">
        <v>1078</v>
      </c>
      <c r="C164" s="87">
        <f>7.7*2.6</f>
        <v>20.02</v>
      </c>
      <c r="D164" s="87">
        <f>0.9*2.1</f>
        <v>1.8900000000000001</v>
      </c>
      <c r="E164" s="73">
        <f t="shared" si="13"/>
        <v>18.13</v>
      </c>
    </row>
    <row r="165" spans="1:6" s="53" customFormat="1" ht="16.5" hidden="1" customHeight="1" x14ac:dyDescent="0.2">
      <c r="A165" s="268"/>
      <c r="B165" s="78" t="s">
        <v>963</v>
      </c>
      <c r="C165" s="87">
        <f>5.1*2.6*8</f>
        <v>106.08</v>
      </c>
      <c r="D165" s="87">
        <f>0.6*2.1*4</f>
        <v>5.04</v>
      </c>
      <c r="E165" s="73">
        <f>C165-D165</f>
        <v>101.03999999999999</v>
      </c>
    </row>
    <row r="166" spans="1:6" s="53" customFormat="1" ht="16.5" hidden="1" customHeight="1" x14ac:dyDescent="0.2">
      <c r="A166" s="264" t="s">
        <v>1302</v>
      </c>
      <c r="B166" s="78" t="s">
        <v>881</v>
      </c>
      <c r="C166" s="87">
        <f>7.2*2.6</f>
        <v>18.720000000000002</v>
      </c>
      <c r="D166" s="87">
        <f t="shared" ref="D166:D167" si="14">0.9*2.1</f>
        <v>1.8900000000000001</v>
      </c>
      <c r="E166" s="73">
        <f t="shared" ref="E166:E168" si="15">C166-D166</f>
        <v>16.830000000000002</v>
      </c>
    </row>
    <row r="167" spans="1:6" s="53" customFormat="1" ht="16.5" hidden="1" customHeight="1" x14ac:dyDescent="0.2">
      <c r="A167" s="266"/>
      <c r="B167" s="78" t="s">
        <v>882</v>
      </c>
      <c r="C167" s="87">
        <f>7.2*2.6</f>
        <v>18.720000000000002</v>
      </c>
      <c r="D167" s="87">
        <f t="shared" si="14"/>
        <v>1.8900000000000001</v>
      </c>
      <c r="E167" s="73">
        <f t="shared" si="15"/>
        <v>16.830000000000002</v>
      </c>
    </row>
    <row r="168" spans="1:6" s="53" customFormat="1" ht="16.5" hidden="1" customHeight="1" x14ac:dyDescent="0.2">
      <c r="A168" s="266"/>
      <c r="B168" s="78" t="s">
        <v>1078</v>
      </c>
      <c r="C168" s="87">
        <f>7.7*2.6</f>
        <v>20.02</v>
      </c>
      <c r="D168" s="87">
        <f>0.9*2.1</f>
        <v>1.8900000000000001</v>
      </c>
      <c r="E168" s="73">
        <f t="shared" si="15"/>
        <v>18.13</v>
      </c>
    </row>
    <row r="169" spans="1:6" s="53" customFormat="1" ht="16.5" hidden="1" customHeight="1" x14ac:dyDescent="0.2">
      <c r="A169" s="268"/>
      <c r="B169" s="78" t="s">
        <v>963</v>
      </c>
      <c r="C169" s="87">
        <f>5.1*2.6*8</f>
        <v>106.08</v>
      </c>
      <c r="D169" s="87">
        <f>0.6*2.1*4</f>
        <v>5.04</v>
      </c>
      <c r="E169" s="73">
        <f>C169-D169</f>
        <v>101.03999999999999</v>
      </c>
    </row>
    <row r="170" spans="1:6" s="53" customFormat="1" ht="16.5" hidden="1" customHeight="1" x14ac:dyDescent="0.2">
      <c r="A170" s="210" t="s">
        <v>970</v>
      </c>
      <c r="B170" s="211"/>
      <c r="C170" s="211"/>
      <c r="D170" s="211"/>
      <c r="E170" s="73">
        <f>SUM(E139:E169)</f>
        <v>1001.7610000000001</v>
      </c>
    </row>
    <row r="171" spans="1:6" s="53" customFormat="1" ht="16.5" hidden="1" customHeight="1" x14ac:dyDescent="0.2">
      <c r="A171" s="210" t="s">
        <v>967</v>
      </c>
      <c r="B171" s="211"/>
      <c r="C171" s="211"/>
      <c r="D171" s="211"/>
      <c r="E171" s="73">
        <v>1001.76</v>
      </c>
    </row>
    <row r="172" spans="1:6" s="43" customFormat="1" ht="14.25" hidden="1" customHeight="1" x14ac:dyDescent="0.2">
      <c r="A172" s="257" t="s">
        <v>1296</v>
      </c>
      <c r="B172" s="258"/>
      <c r="C172" s="258"/>
      <c r="D172" s="258"/>
      <c r="E172" s="98">
        <v>374.53</v>
      </c>
    </row>
    <row r="173" spans="1:6" ht="14.25" hidden="1" customHeight="1" x14ac:dyDescent="0.2">
      <c r="A173" s="212" t="s">
        <v>1297</v>
      </c>
      <c r="B173" s="213"/>
      <c r="C173" s="213"/>
      <c r="D173" s="213"/>
      <c r="E173" s="97">
        <f>E170-E172+0.01</f>
        <v>627.2410000000001</v>
      </c>
    </row>
    <row r="174" spans="1:6" ht="14.25" hidden="1" customHeight="1" x14ac:dyDescent="0.2">
      <c r="A174" s="228"/>
      <c r="B174" s="229"/>
      <c r="C174" s="82"/>
      <c r="D174" s="82"/>
      <c r="E174" s="83"/>
    </row>
    <row r="175" spans="1:6" s="43" customFormat="1" ht="21.75" customHeight="1" x14ac:dyDescent="0.2">
      <c r="A175" s="45" t="s">
        <v>1561</v>
      </c>
      <c r="B175" s="214" t="s">
        <v>192</v>
      </c>
      <c r="C175" s="214"/>
      <c r="D175" s="214"/>
      <c r="E175" s="214"/>
      <c r="F175" s="71"/>
    </row>
    <row r="176" spans="1:6" s="53" customFormat="1" ht="16.5" customHeight="1" x14ac:dyDescent="0.2">
      <c r="A176" s="281" t="s">
        <v>821</v>
      </c>
      <c r="B176" s="282"/>
      <c r="C176" s="78"/>
      <c r="D176" s="78" t="s">
        <v>824</v>
      </c>
      <c r="E176" s="114" t="s">
        <v>1091</v>
      </c>
    </row>
    <row r="177" spans="1:6" s="53" customFormat="1" ht="16.5" customHeight="1" x14ac:dyDescent="0.2">
      <c r="A177" s="113" t="s">
        <v>1562</v>
      </c>
      <c r="B177" s="74"/>
      <c r="C177" s="74"/>
      <c r="D177" s="87">
        <v>950</v>
      </c>
      <c r="E177" s="73">
        <f>D177</f>
        <v>950</v>
      </c>
    </row>
    <row r="178" spans="1:6" s="53" customFormat="1" ht="16.5" customHeight="1" x14ac:dyDescent="0.2">
      <c r="A178" s="113"/>
      <c r="B178" s="74"/>
      <c r="C178" s="74"/>
      <c r="D178" s="87"/>
      <c r="E178" s="73"/>
    </row>
    <row r="179" spans="1:6" s="53" customFormat="1" ht="16.5" customHeight="1" x14ac:dyDescent="0.2">
      <c r="A179" s="210" t="s">
        <v>1563</v>
      </c>
      <c r="B179" s="211"/>
      <c r="C179" s="211"/>
      <c r="D179" s="211"/>
      <c r="E179" s="73">
        <f>SUM(E177:E177)</f>
        <v>950</v>
      </c>
    </row>
    <row r="180" spans="1:6" s="53" customFormat="1" ht="16.5" customHeight="1" x14ac:dyDescent="0.2">
      <c r="A180" s="210" t="s">
        <v>1564</v>
      </c>
      <c r="B180" s="211"/>
      <c r="C180" s="211"/>
      <c r="D180" s="211"/>
      <c r="E180" s="73">
        <v>1947.7</v>
      </c>
    </row>
    <row r="181" spans="1:6" s="43" customFormat="1" ht="14.25" customHeight="1" x14ac:dyDescent="0.2">
      <c r="A181" s="210" t="s">
        <v>1565</v>
      </c>
      <c r="B181" s="211"/>
      <c r="C181" s="211"/>
      <c r="D181" s="211"/>
      <c r="E181" s="50">
        <v>0</v>
      </c>
    </row>
    <row r="182" spans="1:6" s="43" customFormat="1" ht="16.5" customHeight="1" x14ac:dyDescent="0.2">
      <c r="A182" s="212" t="s">
        <v>1566</v>
      </c>
      <c r="B182" s="213"/>
      <c r="C182" s="213"/>
      <c r="D182" s="213"/>
      <c r="E182" s="72">
        <f>E179</f>
        <v>950</v>
      </c>
    </row>
    <row r="183" spans="1:6" ht="14.25" customHeight="1" x14ac:dyDescent="0.2">
      <c r="A183" s="246"/>
      <c r="B183" s="247"/>
      <c r="C183" s="52"/>
      <c r="D183" s="52"/>
      <c r="E183" s="62"/>
    </row>
    <row r="184" spans="1:6" ht="17.25" customHeight="1" x14ac:dyDescent="0.2">
      <c r="A184" s="44" t="s">
        <v>934</v>
      </c>
      <c r="B184" s="221" t="s">
        <v>194</v>
      </c>
      <c r="C184" s="221"/>
      <c r="D184" s="221"/>
      <c r="E184" s="221"/>
    </row>
    <row r="185" spans="1:6" s="43" customFormat="1" ht="42.75" customHeight="1" x14ac:dyDescent="0.2">
      <c r="A185" s="45" t="s">
        <v>935</v>
      </c>
      <c r="B185" s="214" t="s">
        <v>196</v>
      </c>
      <c r="C185" s="214"/>
      <c r="D185" s="214"/>
      <c r="E185" s="214"/>
      <c r="F185" s="71"/>
    </row>
    <row r="186" spans="1:6" s="53" customFormat="1" ht="16.5" customHeight="1" x14ac:dyDescent="0.2">
      <c r="A186" s="281" t="s">
        <v>821</v>
      </c>
      <c r="B186" s="282"/>
      <c r="C186" s="78"/>
      <c r="D186" s="78" t="s">
        <v>1034</v>
      </c>
      <c r="E186" s="73" t="s">
        <v>885</v>
      </c>
    </row>
    <row r="187" spans="1:6" s="53" customFormat="1" ht="16.5" customHeight="1" x14ac:dyDescent="0.2">
      <c r="A187" s="77" t="s">
        <v>1081</v>
      </c>
      <c r="B187" s="74"/>
      <c r="C187" s="74"/>
      <c r="D187" s="87">
        <f>(12.59+23.72+5.37+17.66+35.13+17.79+27.65+6.57+25.36+9.25+26.15+7.28)*1.3</f>
        <v>278.87599999999998</v>
      </c>
      <c r="E187" s="73">
        <f>D187</f>
        <v>278.87599999999998</v>
      </c>
    </row>
    <row r="188" spans="1:6" s="53" customFormat="1" ht="16.5" customHeight="1" x14ac:dyDescent="0.2">
      <c r="A188" s="113" t="s">
        <v>1082</v>
      </c>
      <c r="B188" s="74"/>
      <c r="C188" s="74"/>
      <c r="D188" s="87">
        <f>(24.3*1.2*2)+(24.3*0.15)</f>
        <v>61.965000000000003</v>
      </c>
      <c r="E188" s="73">
        <f>D188</f>
        <v>61.965000000000003</v>
      </c>
    </row>
    <row r="189" spans="1:6" s="53" customFormat="1" ht="15.75" customHeight="1" x14ac:dyDescent="0.2">
      <c r="A189" s="77" t="s">
        <v>1083</v>
      </c>
      <c r="B189" s="74"/>
      <c r="C189" s="74"/>
      <c r="D189" s="115">
        <f>((8.35+20.35+4.19+5.37+13.75+6.48+1.35+6.86+0.9+21.69+16.34)*3.2)+(22.91*0.7)+((6.24+4.37)*0.6)+(20.24*0.7)</f>
        <v>374.58700000000005</v>
      </c>
      <c r="E189" s="73">
        <f>D189</f>
        <v>374.58700000000005</v>
      </c>
    </row>
    <row r="190" spans="1:6" s="53" customFormat="1" ht="15.75" customHeight="1" x14ac:dyDescent="0.2">
      <c r="A190" s="116" t="s">
        <v>1084</v>
      </c>
      <c r="B190" s="74"/>
      <c r="C190" s="74"/>
      <c r="D190" s="87">
        <f>((1.73+8.35+1.82+1.3+3.37+1.3+13.74+1.85)*2.4)+(33.46*0.15)</f>
        <v>85.323000000000008</v>
      </c>
      <c r="E190" s="73">
        <f t="shared" ref="E190:E201" si="16">D190</f>
        <v>85.323000000000008</v>
      </c>
    </row>
    <row r="191" spans="1:6" s="53" customFormat="1" ht="15.75" customHeight="1" x14ac:dyDescent="0.2">
      <c r="A191" s="116" t="s">
        <v>1085</v>
      </c>
      <c r="B191" s="74"/>
      <c r="C191" s="74"/>
      <c r="D191" s="87">
        <f>((8.2+18.61+2.88+3.37+5.56+13.74+4.63+1.35+6.86+0.9+21.71+16.34)*3.9)+(27.66*0.6)+(21.76*0.6)+((1.89+1.89+1.79+1.79)*1.25)</f>
        <v>445.03699999999998</v>
      </c>
      <c r="E191" s="73">
        <f t="shared" si="16"/>
        <v>445.03699999999998</v>
      </c>
    </row>
    <row r="192" spans="1:6" s="53" customFormat="1" ht="15.75" customHeight="1" x14ac:dyDescent="0.2">
      <c r="A192" s="116" t="s">
        <v>1086</v>
      </c>
      <c r="B192" s="74"/>
      <c r="C192" s="74"/>
      <c r="D192" s="87">
        <f>((8.49+2.5+2.5+2.88+3.37+5.56+13.75+2.55)*2.4)+(41.6*0.15)</f>
        <v>106.07999999999998</v>
      </c>
      <c r="E192" s="73">
        <f t="shared" si="16"/>
        <v>106.07999999999998</v>
      </c>
    </row>
    <row r="193" spans="1:6" s="53" customFormat="1" ht="16.5" customHeight="1" x14ac:dyDescent="0.2">
      <c r="A193" s="116" t="s">
        <v>1087</v>
      </c>
      <c r="B193" s="74"/>
      <c r="C193" s="74"/>
      <c r="D193" s="87">
        <f>((8.49+16.21+5.23+17.01+2.22+0.15+28.25+0.75+13.78+0.9)*3.2)+(27.66*0.6)+(19.42*0.6)</f>
        <v>325.81600000000003</v>
      </c>
      <c r="E193" s="73">
        <f t="shared" si="16"/>
        <v>325.81600000000003</v>
      </c>
    </row>
    <row r="194" spans="1:6" s="53" customFormat="1" ht="16.5" customHeight="1" x14ac:dyDescent="0.2">
      <c r="A194" s="116" t="s">
        <v>1196</v>
      </c>
      <c r="B194" s="74"/>
      <c r="C194" s="74"/>
      <c r="D194" s="87">
        <f>((8.49+16.21+5.23+17.01+2.22+0.15+28.25+0.75+13.78+0.9)*3.2)+(27.66*0.6)+(19.42*0.6)</f>
        <v>325.81600000000003</v>
      </c>
      <c r="E194" s="73">
        <f t="shared" si="16"/>
        <v>325.81600000000003</v>
      </c>
    </row>
    <row r="195" spans="1:6" s="53" customFormat="1" ht="16.5" customHeight="1" x14ac:dyDescent="0.2">
      <c r="A195" s="116" t="s">
        <v>1437</v>
      </c>
      <c r="B195" s="74"/>
      <c r="C195" s="74"/>
      <c r="D195" s="87">
        <f>((8.49+16.21+5.23+17.01+2.22+0.15+28.25+0.75+13.78+0.9)*3.2)+(27.66*0.6)+(19.42*0.6)</f>
        <v>325.81600000000003</v>
      </c>
      <c r="E195" s="73">
        <f t="shared" si="16"/>
        <v>325.81600000000003</v>
      </c>
    </row>
    <row r="196" spans="1:6" s="53" customFormat="1" ht="16.5" customHeight="1" x14ac:dyDescent="0.2">
      <c r="A196" s="116" t="s">
        <v>1438</v>
      </c>
      <c r="B196" s="74"/>
      <c r="C196" s="74"/>
      <c r="D196" s="87">
        <f>((8.49+16.21+5.23+17.03+30.64+14.09)*3.2)+(27.38*0.6)+(19.15*0.6)</f>
        <v>321.32600000000008</v>
      </c>
      <c r="E196" s="73">
        <f t="shared" si="16"/>
        <v>321.32600000000008</v>
      </c>
    </row>
    <row r="197" spans="1:6" s="53" customFormat="1" ht="16.5" customHeight="1" x14ac:dyDescent="0.2">
      <c r="A197" s="116" t="s">
        <v>1439</v>
      </c>
      <c r="B197" s="74"/>
      <c r="C197" s="74"/>
      <c r="D197" s="87">
        <f>((1.94+3.84+1.94+3.84)+(2.17+2.17+2.37+2.37))*1</f>
        <v>20.64</v>
      </c>
      <c r="E197" s="73">
        <f t="shared" si="16"/>
        <v>20.64</v>
      </c>
    </row>
    <row r="198" spans="1:6" s="53" customFormat="1" ht="16.5" customHeight="1" x14ac:dyDescent="0.2">
      <c r="A198" s="116" t="s">
        <v>1440</v>
      </c>
      <c r="B198" s="74"/>
      <c r="C198" s="74"/>
      <c r="D198" s="87">
        <v>320</v>
      </c>
      <c r="E198" s="73">
        <f t="shared" si="16"/>
        <v>320</v>
      </c>
    </row>
    <row r="199" spans="1:6" s="53" customFormat="1" ht="16.5" customHeight="1" x14ac:dyDescent="0.2">
      <c r="A199" s="113" t="s">
        <v>1088</v>
      </c>
      <c r="B199" s="74"/>
      <c r="C199" s="74"/>
      <c r="D199" s="87">
        <f>((59+8)*1.15)+(54.7*1.15)</f>
        <v>139.95499999999998</v>
      </c>
      <c r="E199" s="73">
        <f t="shared" si="16"/>
        <v>139.95499999999998</v>
      </c>
    </row>
    <row r="200" spans="1:6" s="53" customFormat="1" ht="16.5" customHeight="1" x14ac:dyDescent="0.2">
      <c r="A200" s="113" t="s">
        <v>1441</v>
      </c>
      <c r="B200" s="74"/>
      <c r="C200" s="74"/>
      <c r="D200" s="87">
        <f>((6.25+6.25)*1.15)+((6.25+6.25)*0.5)</f>
        <v>20.625</v>
      </c>
      <c r="E200" s="73">
        <f t="shared" si="16"/>
        <v>20.625</v>
      </c>
    </row>
    <row r="201" spans="1:6" s="53" customFormat="1" ht="16.5" customHeight="1" x14ac:dyDescent="0.2">
      <c r="A201" s="113" t="s">
        <v>1442</v>
      </c>
      <c r="B201" s="74"/>
      <c r="C201" s="74"/>
      <c r="D201" s="87">
        <f>24.38*0.75</f>
        <v>18.285</v>
      </c>
      <c r="E201" s="73">
        <f t="shared" si="16"/>
        <v>18.285</v>
      </c>
    </row>
    <row r="202" spans="1:6" s="53" customFormat="1" ht="16.5" customHeight="1" x14ac:dyDescent="0.2">
      <c r="A202" s="210" t="s">
        <v>1445</v>
      </c>
      <c r="B202" s="211"/>
      <c r="C202" s="211"/>
      <c r="D202" s="211"/>
      <c r="E202" s="73">
        <f>SUM(E187:E201)</f>
        <v>3170.1469999999995</v>
      </c>
    </row>
    <row r="203" spans="1:6" s="53" customFormat="1" ht="16.5" customHeight="1" x14ac:dyDescent="0.2">
      <c r="A203" s="210" t="s">
        <v>1443</v>
      </c>
      <c r="B203" s="211"/>
      <c r="C203" s="211"/>
      <c r="D203" s="211"/>
      <c r="E203" s="73">
        <v>3121.87</v>
      </c>
    </row>
    <row r="204" spans="1:6" s="43" customFormat="1" ht="14.25" customHeight="1" x14ac:dyDescent="0.2">
      <c r="A204" s="210" t="s">
        <v>1433</v>
      </c>
      <c r="B204" s="211"/>
      <c r="C204" s="211"/>
      <c r="D204" s="211"/>
      <c r="E204" s="50">
        <v>2709.27</v>
      </c>
    </row>
    <row r="205" spans="1:6" s="43" customFormat="1" ht="16.5" customHeight="1" x14ac:dyDescent="0.2">
      <c r="A205" s="212" t="s">
        <v>1434</v>
      </c>
      <c r="B205" s="213"/>
      <c r="C205" s="213"/>
      <c r="D205" s="213"/>
      <c r="E205" s="72">
        <f>E203-E204</f>
        <v>412.59999999999991</v>
      </c>
    </row>
    <row r="206" spans="1:6" s="43" customFormat="1" ht="14.25" customHeight="1" x14ac:dyDescent="0.2">
      <c r="A206" s="241" t="s">
        <v>1444</v>
      </c>
      <c r="B206" s="242"/>
      <c r="C206" s="242"/>
      <c r="D206" s="242"/>
      <c r="E206" s="96">
        <f>E203-E202</f>
        <v>-48.276999999999589</v>
      </c>
    </row>
    <row r="207" spans="1:6" ht="14.25" customHeight="1" x14ac:dyDescent="0.2">
      <c r="A207" s="246"/>
      <c r="B207" s="247"/>
      <c r="C207" s="52"/>
      <c r="D207" s="52"/>
      <c r="E207" s="62"/>
    </row>
    <row r="208" spans="1:6" s="43" customFormat="1" ht="42.75" customHeight="1" x14ac:dyDescent="0.2">
      <c r="A208" s="45" t="s">
        <v>936</v>
      </c>
      <c r="B208" s="214" t="s">
        <v>198</v>
      </c>
      <c r="C208" s="214"/>
      <c r="D208" s="214"/>
      <c r="E208" s="214"/>
      <c r="F208" s="71"/>
    </row>
    <row r="209" spans="1:5" s="53" customFormat="1" ht="16.5" customHeight="1" x14ac:dyDescent="0.2">
      <c r="A209" s="281" t="s">
        <v>821</v>
      </c>
      <c r="B209" s="282"/>
      <c r="C209" s="78"/>
      <c r="D209" s="78" t="s">
        <v>1034</v>
      </c>
      <c r="E209" s="73" t="s">
        <v>885</v>
      </c>
    </row>
    <row r="210" spans="1:5" s="53" customFormat="1" ht="16.5" customHeight="1" x14ac:dyDescent="0.2">
      <c r="A210" s="77" t="s">
        <v>1081</v>
      </c>
      <c r="B210" s="74"/>
      <c r="C210" s="74"/>
      <c r="D210" s="87">
        <f>(12.59+23.72+5.37+17.66+35.13+17.79+27.65+6.57+25.36+9.25+26.15+7.28)*1.3</f>
        <v>278.87599999999998</v>
      </c>
      <c r="E210" s="73">
        <f>D210</f>
        <v>278.87599999999998</v>
      </c>
    </row>
    <row r="211" spans="1:5" s="53" customFormat="1" ht="16.5" customHeight="1" x14ac:dyDescent="0.2">
      <c r="A211" s="113" t="s">
        <v>1082</v>
      </c>
      <c r="B211" s="74"/>
      <c r="C211" s="74"/>
      <c r="D211" s="87">
        <f>(24.3*1.2*2)+(24.3*0.15)</f>
        <v>61.965000000000003</v>
      </c>
      <c r="E211" s="73">
        <f>D211</f>
        <v>61.965000000000003</v>
      </c>
    </row>
    <row r="212" spans="1:5" s="53" customFormat="1" ht="15.75" customHeight="1" x14ac:dyDescent="0.2">
      <c r="A212" s="77" t="s">
        <v>1083</v>
      </c>
      <c r="B212" s="74"/>
      <c r="C212" s="74"/>
      <c r="D212" s="115">
        <f>((8.35+20.35+4.19+5.37+13.75+6.48+1.35+6.86+0.9+21.69+16.34)*3.2)+(22.91*0.7)+((6.24+4.37)*0.6)+(20.24*0.7)</f>
        <v>374.58700000000005</v>
      </c>
      <c r="E212" s="73">
        <f>D212</f>
        <v>374.58700000000005</v>
      </c>
    </row>
    <row r="213" spans="1:5" s="53" customFormat="1" ht="15.75" customHeight="1" x14ac:dyDescent="0.2">
      <c r="A213" s="116" t="s">
        <v>1084</v>
      </c>
      <c r="B213" s="74"/>
      <c r="C213" s="74"/>
      <c r="D213" s="87">
        <f>((1.73+8.35+1.82+1.3+3.37+1.3+13.74+1.85)*2.4)+(33.46*0.15)</f>
        <v>85.323000000000008</v>
      </c>
      <c r="E213" s="73">
        <f t="shared" ref="E213:E224" si="17">D213</f>
        <v>85.323000000000008</v>
      </c>
    </row>
    <row r="214" spans="1:5" s="53" customFormat="1" ht="15.75" customHeight="1" x14ac:dyDescent="0.2">
      <c r="A214" s="116" t="s">
        <v>1085</v>
      </c>
      <c r="B214" s="74"/>
      <c r="C214" s="74"/>
      <c r="D214" s="87">
        <f>((8.2+18.61+2.88+3.37+5.56+13.74+4.63+1.35+6.86+0.9+21.71+16.34)*3.9)+(27.66*0.6)+(21.76*0.6)+((1.89+1.89+1.79+1.79)*1.25)</f>
        <v>445.03699999999998</v>
      </c>
      <c r="E214" s="73">
        <f t="shared" si="17"/>
        <v>445.03699999999998</v>
      </c>
    </row>
    <row r="215" spans="1:5" s="53" customFormat="1" ht="15.75" customHeight="1" x14ac:dyDescent="0.2">
      <c r="A215" s="116" t="s">
        <v>1086</v>
      </c>
      <c r="B215" s="74"/>
      <c r="C215" s="74"/>
      <c r="D215" s="87">
        <f>((8.49+2.5+2.5+2.88+3.37+5.56+13.75+2.55)*2.4)+(41.6*0.15)</f>
        <v>106.07999999999998</v>
      </c>
      <c r="E215" s="73">
        <f t="shared" si="17"/>
        <v>106.07999999999998</v>
      </c>
    </row>
    <row r="216" spans="1:5" s="53" customFormat="1" ht="16.5" customHeight="1" x14ac:dyDescent="0.2">
      <c r="A216" s="116" t="s">
        <v>1087</v>
      </c>
      <c r="B216" s="74"/>
      <c r="C216" s="74"/>
      <c r="D216" s="87">
        <f>((8.49+16.21+5.23+17.01+2.22+0.15+28.25+0.75+13.78+0.9)*3.2)+(27.66*0.6)+(19.42*0.6)</f>
        <v>325.81600000000003</v>
      </c>
      <c r="E216" s="73">
        <f t="shared" si="17"/>
        <v>325.81600000000003</v>
      </c>
    </row>
    <row r="217" spans="1:5" s="53" customFormat="1" ht="16.5" customHeight="1" x14ac:dyDescent="0.2">
      <c r="A217" s="116" t="s">
        <v>1196</v>
      </c>
      <c r="B217" s="74"/>
      <c r="C217" s="74"/>
      <c r="D217" s="87">
        <f>((8.49+16.21+5.23+17.01+2.22+0.15+28.25+0.75+13.78+0.9)*3.2)+(27.66*0.6)+(19.42*0.6)</f>
        <v>325.81600000000003</v>
      </c>
      <c r="E217" s="73">
        <f t="shared" si="17"/>
        <v>325.81600000000003</v>
      </c>
    </row>
    <row r="218" spans="1:5" s="53" customFormat="1" ht="16.5" customHeight="1" x14ac:dyDescent="0.2">
      <c r="A218" s="116" t="s">
        <v>1437</v>
      </c>
      <c r="B218" s="74"/>
      <c r="C218" s="74"/>
      <c r="D218" s="87">
        <f>((8.49+16.21+5.23+17.01+2.22+0.15+28.25+0.75+13.78+0.9)*3.2)+(27.66*0.6)+(19.42*0.6)</f>
        <v>325.81600000000003</v>
      </c>
      <c r="E218" s="73">
        <f t="shared" si="17"/>
        <v>325.81600000000003</v>
      </c>
    </row>
    <row r="219" spans="1:5" s="53" customFormat="1" ht="16.5" customHeight="1" x14ac:dyDescent="0.2">
      <c r="A219" s="116" t="s">
        <v>1438</v>
      </c>
      <c r="B219" s="74"/>
      <c r="C219" s="74"/>
      <c r="D219" s="87">
        <f>((8.49+16.21+5.23+17.03+30.64+14.09)*3.2)+(27.38*0.6)+(19.15*0.6)</f>
        <v>321.32600000000008</v>
      </c>
      <c r="E219" s="73">
        <f t="shared" si="17"/>
        <v>321.32600000000008</v>
      </c>
    </row>
    <row r="220" spans="1:5" s="53" customFormat="1" ht="16.5" customHeight="1" x14ac:dyDescent="0.2">
      <c r="A220" s="116" t="s">
        <v>1439</v>
      </c>
      <c r="B220" s="74"/>
      <c r="C220" s="74"/>
      <c r="D220" s="87">
        <f>((1.94+3.84+1.94+3.84)+(2.17+2.17+2.37+2.37))*1</f>
        <v>20.64</v>
      </c>
      <c r="E220" s="73">
        <f t="shared" si="17"/>
        <v>20.64</v>
      </c>
    </row>
    <row r="221" spans="1:5" s="53" customFormat="1" ht="16.5" customHeight="1" x14ac:dyDescent="0.2">
      <c r="A221" s="116" t="s">
        <v>1440</v>
      </c>
      <c r="B221" s="74"/>
      <c r="C221" s="74"/>
      <c r="D221" s="87">
        <v>320</v>
      </c>
      <c r="E221" s="73">
        <f t="shared" si="17"/>
        <v>320</v>
      </c>
    </row>
    <row r="222" spans="1:5" s="53" customFormat="1" ht="16.5" customHeight="1" x14ac:dyDescent="0.2">
      <c r="A222" s="113" t="s">
        <v>1088</v>
      </c>
      <c r="B222" s="74"/>
      <c r="C222" s="74"/>
      <c r="D222" s="87">
        <f>((59+8)*1.15)+(54.7*1.15)</f>
        <v>139.95499999999998</v>
      </c>
      <c r="E222" s="73">
        <f t="shared" si="17"/>
        <v>139.95499999999998</v>
      </c>
    </row>
    <row r="223" spans="1:5" s="53" customFormat="1" ht="16.5" customHeight="1" x14ac:dyDescent="0.2">
      <c r="A223" s="113" t="s">
        <v>1441</v>
      </c>
      <c r="B223" s="74"/>
      <c r="C223" s="74"/>
      <c r="D223" s="87">
        <f>((6.25+6.25)*1.15)+((6.25+6.25)*0.5)</f>
        <v>20.625</v>
      </c>
      <c r="E223" s="73">
        <f t="shared" si="17"/>
        <v>20.625</v>
      </c>
    </row>
    <row r="224" spans="1:5" s="53" customFormat="1" ht="16.5" customHeight="1" x14ac:dyDescent="0.2">
      <c r="A224" s="113" t="s">
        <v>1442</v>
      </c>
      <c r="B224" s="74"/>
      <c r="C224" s="74"/>
      <c r="D224" s="87">
        <f>24.38*0.75</f>
        <v>18.285</v>
      </c>
      <c r="E224" s="73">
        <f t="shared" si="17"/>
        <v>18.285</v>
      </c>
    </row>
    <row r="225" spans="1:6" s="53" customFormat="1" ht="16.5" customHeight="1" x14ac:dyDescent="0.2">
      <c r="A225" s="210" t="s">
        <v>1044</v>
      </c>
      <c r="B225" s="211"/>
      <c r="C225" s="211"/>
      <c r="D225" s="211"/>
      <c r="E225" s="73">
        <f>SUM(E210:E224)</f>
        <v>3170.1469999999995</v>
      </c>
    </row>
    <row r="226" spans="1:6" s="53" customFormat="1" ht="16.5" customHeight="1" x14ac:dyDescent="0.2">
      <c r="A226" s="210" t="s">
        <v>1045</v>
      </c>
      <c r="B226" s="211"/>
      <c r="C226" s="211"/>
      <c r="D226" s="211"/>
      <c r="E226" s="73">
        <v>3121.87</v>
      </c>
    </row>
    <row r="227" spans="1:6" s="43" customFormat="1" ht="14.25" customHeight="1" x14ac:dyDescent="0.2">
      <c r="A227" s="210" t="s">
        <v>1435</v>
      </c>
      <c r="B227" s="211"/>
      <c r="C227" s="211"/>
      <c r="D227" s="211"/>
      <c r="E227" s="50">
        <v>2709.27</v>
      </c>
    </row>
    <row r="228" spans="1:6" s="43" customFormat="1" ht="16.5" customHeight="1" x14ac:dyDescent="0.2">
      <c r="A228" s="212" t="s">
        <v>1436</v>
      </c>
      <c r="B228" s="213"/>
      <c r="C228" s="213"/>
      <c r="D228" s="213"/>
      <c r="E228" s="72">
        <f>E226-E227</f>
        <v>412.59999999999991</v>
      </c>
    </row>
    <row r="229" spans="1:6" s="43" customFormat="1" ht="16.5" customHeight="1" x14ac:dyDescent="0.2">
      <c r="A229" s="241" t="s">
        <v>1048</v>
      </c>
      <c r="B229" s="242"/>
      <c r="C229" s="242"/>
      <c r="D229" s="242"/>
      <c r="E229" s="92">
        <f>E226-E225</f>
        <v>-48.276999999999589</v>
      </c>
    </row>
    <row r="230" spans="1:6" ht="14.25" customHeight="1" x14ac:dyDescent="0.2">
      <c r="A230" s="228"/>
      <c r="B230" s="229"/>
      <c r="C230" s="82"/>
      <c r="D230" s="82"/>
      <c r="E230" s="83"/>
    </row>
    <row r="231" spans="1:6" ht="17.25" customHeight="1" x14ac:dyDescent="0.2">
      <c r="A231" s="44" t="s">
        <v>1220</v>
      </c>
      <c r="B231" s="221" t="s">
        <v>200</v>
      </c>
      <c r="C231" s="221"/>
      <c r="D231" s="221"/>
      <c r="E231" s="221"/>
    </row>
    <row r="232" spans="1:6" s="43" customFormat="1" ht="30.75" customHeight="1" x14ac:dyDescent="0.2">
      <c r="A232" s="45" t="s">
        <v>1221</v>
      </c>
      <c r="B232" s="214" t="s">
        <v>202</v>
      </c>
      <c r="C232" s="214"/>
      <c r="D232" s="214"/>
      <c r="E232" s="214"/>
      <c r="F232" s="71"/>
    </row>
    <row r="233" spans="1:6" s="53" customFormat="1" ht="16.5" customHeight="1" x14ac:dyDescent="0.2">
      <c r="A233" s="283" t="s">
        <v>1258</v>
      </c>
      <c r="B233" s="284"/>
      <c r="C233" s="284"/>
      <c r="D233" s="284"/>
      <c r="E233" s="73">
        <v>710.58</v>
      </c>
    </row>
    <row r="234" spans="1:6" s="53" customFormat="1" ht="16.5" customHeight="1" x14ac:dyDescent="0.2">
      <c r="A234" s="113"/>
      <c r="B234" s="74"/>
      <c r="C234" s="74"/>
      <c r="D234" s="87"/>
      <c r="E234" s="73"/>
    </row>
    <row r="235" spans="1:6" s="53" customFormat="1" ht="16.5" customHeight="1" x14ac:dyDescent="0.2">
      <c r="A235" s="210" t="s">
        <v>1259</v>
      </c>
      <c r="B235" s="211"/>
      <c r="C235" s="211"/>
      <c r="D235" s="211"/>
      <c r="E235" s="73">
        <f>SUM(E233:E234)</f>
        <v>710.58</v>
      </c>
    </row>
    <row r="236" spans="1:6" s="53" customFormat="1" ht="16.5" customHeight="1" x14ac:dyDescent="0.2">
      <c r="A236" s="210" t="s">
        <v>1260</v>
      </c>
      <c r="B236" s="211"/>
      <c r="C236" s="211"/>
      <c r="D236" s="211"/>
      <c r="E236" s="73">
        <v>921.15</v>
      </c>
    </row>
    <row r="237" spans="1:6" s="43" customFormat="1" ht="14.25" customHeight="1" x14ac:dyDescent="0.2">
      <c r="A237" s="210" t="s">
        <v>1567</v>
      </c>
      <c r="B237" s="211"/>
      <c r="C237" s="211"/>
      <c r="D237" s="211"/>
      <c r="E237" s="50">
        <v>460.58</v>
      </c>
    </row>
    <row r="238" spans="1:6" s="43" customFormat="1" ht="16.5" customHeight="1" x14ac:dyDescent="0.2">
      <c r="A238" s="212" t="s">
        <v>1568</v>
      </c>
      <c r="B238" s="213"/>
      <c r="C238" s="213"/>
      <c r="D238" s="213"/>
      <c r="E238" s="72">
        <f>E235-E237</f>
        <v>250.00000000000006</v>
      </c>
    </row>
    <row r="239" spans="1:6" ht="14.25" customHeight="1" x14ac:dyDescent="0.2">
      <c r="A239" s="246"/>
      <c r="B239" s="247"/>
      <c r="C239" s="52"/>
      <c r="D239" s="52"/>
      <c r="E239" s="62"/>
    </row>
  </sheetData>
  <mergeCells count="77">
    <mergeCell ref="B32:E32"/>
    <mergeCell ref="A11:E11"/>
    <mergeCell ref="B13:E13"/>
    <mergeCell ref="B14:E14"/>
    <mergeCell ref="B15:E15"/>
    <mergeCell ref="A16:B16"/>
    <mergeCell ref="A26:D26"/>
    <mergeCell ref="A27:D27"/>
    <mergeCell ref="A28:D28"/>
    <mergeCell ref="A29:D29"/>
    <mergeCell ref="A30:D30"/>
    <mergeCell ref="A31:B31"/>
    <mergeCell ref="A33:B33"/>
    <mergeCell ref="A34:A45"/>
    <mergeCell ref="A47:A53"/>
    <mergeCell ref="A54:A62"/>
    <mergeCell ref="A63:A69"/>
    <mergeCell ref="A70:A76"/>
    <mergeCell ref="A77:A79"/>
    <mergeCell ref="A80:A88"/>
    <mergeCell ref="A89:A94"/>
    <mergeCell ref="A95:A103"/>
    <mergeCell ref="A104:A109"/>
    <mergeCell ref="A119:A123"/>
    <mergeCell ref="A124:A131"/>
    <mergeCell ref="A132:D132"/>
    <mergeCell ref="A133:D133"/>
    <mergeCell ref="A110:A118"/>
    <mergeCell ref="B185:E185"/>
    <mergeCell ref="A186:B186"/>
    <mergeCell ref="A202:D202"/>
    <mergeCell ref="A134:D134"/>
    <mergeCell ref="A135:D135"/>
    <mergeCell ref="A136:D136"/>
    <mergeCell ref="B137:E137"/>
    <mergeCell ref="A138:B138"/>
    <mergeCell ref="A158:A161"/>
    <mergeCell ref="A162:A165"/>
    <mergeCell ref="A166:A169"/>
    <mergeCell ref="A171:D171"/>
    <mergeCell ref="A172:D172"/>
    <mergeCell ref="A173:D173"/>
    <mergeCell ref="A174:B174"/>
    <mergeCell ref="B184:E184"/>
    <mergeCell ref="A139:A145"/>
    <mergeCell ref="A146:A149"/>
    <mergeCell ref="A150:A153"/>
    <mergeCell ref="A154:A157"/>
    <mergeCell ref="A170:D170"/>
    <mergeCell ref="A238:D238"/>
    <mergeCell ref="A239:B239"/>
    <mergeCell ref="A233:D233"/>
    <mergeCell ref="B231:E231"/>
    <mergeCell ref="B232:E232"/>
    <mergeCell ref="A235:D235"/>
    <mergeCell ref="A236:D236"/>
    <mergeCell ref="A203:D203"/>
    <mergeCell ref="A206:D206"/>
    <mergeCell ref="A204:D204"/>
    <mergeCell ref="A205:D205"/>
    <mergeCell ref="A237:D237"/>
    <mergeCell ref="A226:D226"/>
    <mergeCell ref="A227:D227"/>
    <mergeCell ref="A228:D228"/>
    <mergeCell ref="A230:B230"/>
    <mergeCell ref="A207:B207"/>
    <mergeCell ref="B208:E208"/>
    <mergeCell ref="A209:B209"/>
    <mergeCell ref="A225:D225"/>
    <mergeCell ref="A229:D229"/>
    <mergeCell ref="A182:D182"/>
    <mergeCell ref="A183:B183"/>
    <mergeCell ref="B175:E175"/>
    <mergeCell ref="A176:B176"/>
    <mergeCell ref="A179:D179"/>
    <mergeCell ref="A180:D180"/>
    <mergeCell ref="A181:D181"/>
  </mergeCells>
  <printOptions horizontalCentered="1"/>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6C7AE-0D58-4188-863F-170A0F2AF6E9}">
  <sheetPr>
    <tabColor theme="4"/>
  </sheetPr>
  <dimension ref="A1:F233"/>
  <sheetViews>
    <sheetView view="pageBreakPreview" topLeftCell="A207" zoomScale="90" zoomScaleNormal="95" zoomScaleSheetLayoutView="90" workbookViewId="0">
      <selection activeCell="E226" sqref="E226"/>
    </sheetView>
  </sheetViews>
  <sheetFormatPr defaultColWidth="9" defaultRowHeight="12.75" x14ac:dyDescent="0.2"/>
  <cols>
    <col min="1" max="1" width="19.25" style="35" customWidth="1"/>
    <col min="2" max="2" width="17.75" style="35" customWidth="1"/>
    <col min="3" max="3" width="13.625" style="35" bestFit="1"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1313</v>
      </c>
      <c r="B8" s="38"/>
      <c r="C8" s="39"/>
      <c r="D8" s="39"/>
      <c r="E8" s="40"/>
    </row>
    <row r="9" spans="1:6" ht="13.5" thickBot="1" x14ac:dyDescent="0.25">
      <c r="A9" s="37"/>
      <c r="B9" s="38"/>
      <c r="C9" s="39"/>
      <c r="D9" s="39"/>
      <c r="E9" s="40"/>
    </row>
    <row r="10" spans="1:6" s="43" customFormat="1" ht="21" customHeight="1" thickBot="1" x14ac:dyDescent="0.25">
      <c r="A10" s="248" t="s">
        <v>1314</v>
      </c>
      <c r="B10" s="249"/>
      <c r="C10" s="249"/>
      <c r="D10" s="249"/>
      <c r="E10" s="250"/>
    </row>
    <row r="11" spans="1:6" x14ac:dyDescent="0.2">
      <c r="A11" s="34"/>
      <c r="E11" s="36"/>
    </row>
    <row r="12" spans="1:6" ht="17.25" hidden="1" customHeight="1" x14ac:dyDescent="0.2">
      <c r="A12" s="44" t="s">
        <v>872</v>
      </c>
      <c r="B12" s="221" t="s">
        <v>182</v>
      </c>
      <c r="C12" s="221"/>
      <c r="D12" s="221"/>
      <c r="E12" s="221"/>
    </row>
    <row r="13" spans="1:6" ht="17.25" hidden="1" customHeight="1" x14ac:dyDescent="0.2">
      <c r="A13" s="44" t="s">
        <v>873</v>
      </c>
      <c r="B13" s="221" t="s">
        <v>184</v>
      </c>
      <c r="C13" s="221"/>
      <c r="D13" s="221"/>
      <c r="E13" s="221"/>
    </row>
    <row r="14" spans="1:6" s="43" customFormat="1" ht="55.5" hidden="1" customHeight="1" x14ac:dyDescent="0.2">
      <c r="A14" s="45" t="s">
        <v>874</v>
      </c>
      <c r="B14" s="214" t="s">
        <v>186</v>
      </c>
      <c r="C14" s="214"/>
      <c r="D14" s="214"/>
      <c r="E14" s="214"/>
      <c r="F14" s="71"/>
    </row>
    <row r="15" spans="1:6" s="53" customFormat="1" ht="16.5" hidden="1" customHeight="1" x14ac:dyDescent="0.2">
      <c r="A15" s="281" t="s">
        <v>821</v>
      </c>
      <c r="B15" s="282"/>
      <c r="C15" s="78"/>
      <c r="D15" s="78" t="s">
        <v>1034</v>
      </c>
      <c r="E15" s="73" t="s">
        <v>885</v>
      </c>
    </row>
    <row r="16" spans="1:6" s="53" customFormat="1" ht="16.5" hidden="1" customHeight="1" x14ac:dyDescent="0.2">
      <c r="A16" s="77" t="s">
        <v>1035</v>
      </c>
      <c r="B16" s="74"/>
      <c r="C16" s="74"/>
      <c r="D16" s="87">
        <f>SUM(E33:E45)</f>
        <v>912.91700000000003</v>
      </c>
      <c r="E16" s="73">
        <f>D16</f>
        <v>912.91700000000003</v>
      </c>
    </row>
    <row r="17" spans="1:6" s="53" customFormat="1" ht="16.5" hidden="1" customHeight="1" x14ac:dyDescent="0.2">
      <c r="A17" s="77" t="s">
        <v>1036</v>
      </c>
      <c r="B17" s="74"/>
      <c r="C17" s="74"/>
      <c r="D17" s="87">
        <f>SUM(E46:E52)</f>
        <v>190.57500000000002</v>
      </c>
      <c r="E17" s="73">
        <f t="shared" ref="E17:E24" si="0">D17</f>
        <v>190.57500000000002</v>
      </c>
    </row>
    <row r="18" spans="1:6" s="53" customFormat="1" ht="16.5" hidden="1" customHeight="1" x14ac:dyDescent="0.2">
      <c r="A18" s="77" t="s">
        <v>1037</v>
      </c>
      <c r="B18" s="74"/>
      <c r="C18" s="74"/>
      <c r="D18" s="87">
        <f>SUM(E53:E61)</f>
        <v>422.97700000000009</v>
      </c>
      <c r="E18" s="73">
        <f t="shared" si="0"/>
        <v>422.97700000000009</v>
      </c>
    </row>
    <row r="19" spans="1:6" s="53" customFormat="1" ht="16.5" hidden="1" customHeight="1" x14ac:dyDescent="0.2">
      <c r="A19" s="77" t="s">
        <v>1038</v>
      </c>
      <c r="B19" s="74"/>
      <c r="C19" s="74"/>
      <c r="D19" s="87">
        <f>SUM(E62:E68)</f>
        <v>307.476</v>
      </c>
      <c r="E19" s="73">
        <f t="shared" si="0"/>
        <v>307.476</v>
      </c>
    </row>
    <row r="20" spans="1:6" s="53" customFormat="1" ht="16.5" hidden="1" customHeight="1" x14ac:dyDescent="0.2">
      <c r="A20" s="77" t="s">
        <v>1039</v>
      </c>
      <c r="B20" s="74"/>
      <c r="C20" s="74"/>
      <c r="D20" s="87">
        <f>SUM(E69:E75)</f>
        <v>384.56</v>
      </c>
      <c r="E20" s="73">
        <f t="shared" si="0"/>
        <v>384.56</v>
      </c>
    </row>
    <row r="21" spans="1:6" s="53" customFormat="1" ht="16.5" hidden="1" customHeight="1" x14ac:dyDescent="0.2">
      <c r="A21" s="77" t="s">
        <v>1040</v>
      </c>
      <c r="B21" s="74"/>
      <c r="C21" s="74"/>
      <c r="D21" s="87">
        <f>SUM(E76:E78)</f>
        <v>223.755</v>
      </c>
      <c r="E21" s="73">
        <f t="shared" si="0"/>
        <v>223.755</v>
      </c>
    </row>
    <row r="22" spans="1:6" s="53" customFormat="1" ht="16.5" hidden="1" customHeight="1" x14ac:dyDescent="0.2">
      <c r="A22" s="113" t="s">
        <v>1041</v>
      </c>
      <c r="B22" s="74"/>
      <c r="C22" s="74"/>
      <c r="D22" s="87">
        <f>SUM(E79:E93)</f>
        <v>552.01599999999996</v>
      </c>
      <c r="E22" s="73">
        <f t="shared" si="0"/>
        <v>552.01599999999996</v>
      </c>
    </row>
    <row r="23" spans="1:6" s="53" customFormat="1" ht="16.5" hidden="1" customHeight="1" x14ac:dyDescent="0.2">
      <c r="A23" s="113" t="s">
        <v>1042</v>
      </c>
      <c r="B23" s="74"/>
      <c r="C23" s="74"/>
      <c r="D23" s="87">
        <f>SUM(E94:E108)</f>
        <v>530.38400000000013</v>
      </c>
      <c r="E23" s="73">
        <f t="shared" si="0"/>
        <v>530.38400000000013</v>
      </c>
    </row>
    <row r="24" spans="1:6" s="53" customFormat="1" ht="16.5" hidden="1" customHeight="1" x14ac:dyDescent="0.2">
      <c r="A24" s="113" t="s">
        <v>1043</v>
      </c>
      <c r="B24" s="74"/>
      <c r="C24" s="74"/>
      <c r="D24" s="87">
        <f>SUM(E109:E130)</f>
        <v>774.89900000000023</v>
      </c>
      <c r="E24" s="73">
        <f t="shared" si="0"/>
        <v>774.89900000000023</v>
      </c>
    </row>
    <row r="25" spans="1:6" s="53" customFormat="1" ht="16.5" hidden="1" customHeight="1" x14ac:dyDescent="0.2">
      <c r="A25" s="210" t="s">
        <v>1044</v>
      </c>
      <c r="B25" s="211"/>
      <c r="C25" s="211"/>
      <c r="D25" s="211"/>
      <c r="E25" s="73">
        <f>SUM(E16:E24)</f>
        <v>4299.5590000000002</v>
      </c>
    </row>
    <row r="26" spans="1:6" s="53" customFormat="1" ht="16.5" hidden="1" customHeight="1" x14ac:dyDescent="0.2">
      <c r="A26" s="210" t="s">
        <v>1045</v>
      </c>
      <c r="B26" s="211"/>
      <c r="C26" s="211"/>
      <c r="D26" s="211"/>
      <c r="E26" s="73">
        <v>3999.37</v>
      </c>
    </row>
    <row r="27" spans="1:6" s="43" customFormat="1" ht="14.25" hidden="1" customHeight="1" x14ac:dyDescent="0.2">
      <c r="A27" s="210" t="s">
        <v>1046</v>
      </c>
      <c r="B27" s="211"/>
      <c r="C27" s="211"/>
      <c r="D27" s="211"/>
      <c r="E27" s="50">
        <v>2573.87</v>
      </c>
    </row>
    <row r="28" spans="1:6" s="43" customFormat="1" ht="16.5" hidden="1" customHeight="1" x14ac:dyDescent="0.2">
      <c r="A28" s="212" t="s">
        <v>1047</v>
      </c>
      <c r="B28" s="213"/>
      <c r="C28" s="213"/>
      <c r="D28" s="213"/>
      <c r="E28" s="72">
        <f>E26-E27</f>
        <v>1425.5</v>
      </c>
    </row>
    <row r="29" spans="1:6" s="43" customFormat="1" ht="16.5" hidden="1" customHeight="1" x14ac:dyDescent="0.2">
      <c r="A29" s="212" t="s">
        <v>1048</v>
      </c>
      <c r="B29" s="213"/>
      <c r="C29" s="213"/>
      <c r="D29" s="213"/>
      <c r="E29" s="72">
        <f>E26-E25</f>
        <v>-300.18900000000031</v>
      </c>
    </row>
    <row r="30" spans="1:6" ht="14.25" hidden="1" customHeight="1" x14ac:dyDescent="0.2">
      <c r="A30" s="246"/>
      <c r="B30" s="247"/>
      <c r="C30" s="52"/>
      <c r="D30" s="52"/>
      <c r="E30" s="62"/>
    </row>
    <row r="31" spans="1:6" s="43" customFormat="1" ht="54.75" hidden="1" customHeight="1" x14ac:dyDescent="0.2">
      <c r="A31" s="45" t="s">
        <v>875</v>
      </c>
      <c r="B31" s="214" t="s">
        <v>188</v>
      </c>
      <c r="C31" s="214"/>
      <c r="D31" s="214"/>
      <c r="E31" s="214"/>
      <c r="F31" s="71"/>
    </row>
    <row r="32" spans="1:6" s="53" customFormat="1" ht="16.5" hidden="1" customHeight="1" x14ac:dyDescent="0.2">
      <c r="A32" s="281" t="s">
        <v>821</v>
      </c>
      <c r="B32" s="282"/>
      <c r="C32" s="84" t="s">
        <v>1049</v>
      </c>
      <c r="D32" s="84" t="s">
        <v>1034</v>
      </c>
      <c r="E32" s="114" t="s">
        <v>885</v>
      </c>
    </row>
    <row r="33" spans="1:5" s="53" customFormat="1" ht="16.5" hidden="1" customHeight="1" x14ac:dyDescent="0.2">
      <c r="A33" s="264" t="s">
        <v>1035</v>
      </c>
      <c r="B33" s="78" t="s">
        <v>913</v>
      </c>
      <c r="C33" s="87">
        <f>20*3.3</f>
        <v>66</v>
      </c>
      <c r="D33" s="87">
        <f>C33</f>
        <v>66</v>
      </c>
      <c r="E33" s="73">
        <f>D33</f>
        <v>66</v>
      </c>
    </row>
    <row r="34" spans="1:5" s="53" customFormat="1" ht="16.5" hidden="1" customHeight="1" x14ac:dyDescent="0.2">
      <c r="A34" s="266"/>
      <c r="B34" s="78" t="s">
        <v>881</v>
      </c>
      <c r="C34" s="87">
        <f>7*3.3</f>
        <v>23.099999999999998</v>
      </c>
      <c r="D34" s="87">
        <f t="shared" ref="D34:E49" si="1">C34</f>
        <v>23.099999999999998</v>
      </c>
      <c r="E34" s="73">
        <f t="shared" si="1"/>
        <v>23.099999999999998</v>
      </c>
    </row>
    <row r="35" spans="1:5" s="53" customFormat="1" ht="16.5" hidden="1" customHeight="1" x14ac:dyDescent="0.2">
      <c r="A35" s="266"/>
      <c r="B35" s="78" t="s">
        <v>882</v>
      </c>
      <c r="C35" s="87">
        <f>7*3.3</f>
        <v>23.099999999999998</v>
      </c>
      <c r="D35" s="87">
        <f t="shared" si="1"/>
        <v>23.099999999999998</v>
      </c>
      <c r="E35" s="73">
        <f t="shared" si="1"/>
        <v>23.099999999999998</v>
      </c>
    </row>
    <row r="36" spans="1:5" s="53" customFormat="1" ht="16.5" hidden="1" customHeight="1" x14ac:dyDescent="0.2">
      <c r="A36" s="266"/>
      <c r="B36" s="78" t="s">
        <v>906</v>
      </c>
      <c r="C36" s="87">
        <f>6.4*3.3</f>
        <v>21.12</v>
      </c>
      <c r="D36" s="87">
        <f t="shared" si="1"/>
        <v>21.12</v>
      </c>
      <c r="E36" s="73">
        <f t="shared" si="1"/>
        <v>21.12</v>
      </c>
    </row>
    <row r="37" spans="1:5" s="53" customFormat="1" ht="16.5" hidden="1" customHeight="1" x14ac:dyDescent="0.2">
      <c r="A37" s="266"/>
      <c r="B37" s="78" t="s">
        <v>880</v>
      </c>
      <c r="C37" s="87">
        <f>19.1*3.3</f>
        <v>63.03</v>
      </c>
      <c r="D37" s="87">
        <f t="shared" si="1"/>
        <v>63.03</v>
      </c>
      <c r="E37" s="73">
        <f t="shared" si="1"/>
        <v>63.03</v>
      </c>
    </row>
    <row r="38" spans="1:5" s="53" customFormat="1" ht="16.5" hidden="1" customHeight="1" x14ac:dyDescent="0.2">
      <c r="A38" s="266"/>
      <c r="B38" s="78" t="s">
        <v>1050</v>
      </c>
      <c r="C38" s="87">
        <f>22.1*3.3</f>
        <v>72.930000000000007</v>
      </c>
      <c r="D38" s="87">
        <f>C38</f>
        <v>72.930000000000007</v>
      </c>
      <c r="E38" s="73">
        <f t="shared" si="1"/>
        <v>72.930000000000007</v>
      </c>
    </row>
    <row r="39" spans="1:5" s="53" customFormat="1" ht="16.5" hidden="1" customHeight="1" x14ac:dyDescent="0.2">
      <c r="A39" s="266"/>
      <c r="B39" s="78" t="s">
        <v>1051</v>
      </c>
      <c r="C39" s="87">
        <f>19.8*3.3</f>
        <v>65.34</v>
      </c>
      <c r="D39" s="87">
        <f>C39</f>
        <v>65.34</v>
      </c>
      <c r="E39" s="73">
        <f t="shared" si="1"/>
        <v>65.34</v>
      </c>
    </row>
    <row r="40" spans="1:5" s="53" customFormat="1" ht="16.5" hidden="1" customHeight="1" x14ac:dyDescent="0.2">
      <c r="A40" s="266"/>
      <c r="B40" s="78" t="s">
        <v>1052</v>
      </c>
      <c r="C40" s="87">
        <f>19.8*3.3</f>
        <v>65.34</v>
      </c>
      <c r="D40" s="87">
        <f>C40</f>
        <v>65.34</v>
      </c>
      <c r="E40" s="73">
        <f t="shared" si="1"/>
        <v>65.34</v>
      </c>
    </row>
    <row r="41" spans="1:5" s="53" customFormat="1" ht="16.5" hidden="1" customHeight="1" x14ac:dyDescent="0.2">
      <c r="A41" s="266"/>
      <c r="B41" s="78" t="s">
        <v>1053</v>
      </c>
      <c r="C41" s="87">
        <f>27.46*3.3</f>
        <v>90.617999999999995</v>
      </c>
      <c r="D41" s="87">
        <f t="shared" ref="D41:D45" si="2">C41</f>
        <v>90.617999999999995</v>
      </c>
      <c r="E41" s="73">
        <f t="shared" si="1"/>
        <v>90.617999999999995</v>
      </c>
    </row>
    <row r="42" spans="1:5" s="53" customFormat="1" ht="16.5" hidden="1" customHeight="1" x14ac:dyDescent="0.2">
      <c r="A42" s="266"/>
      <c r="B42" s="78" t="s">
        <v>894</v>
      </c>
      <c r="C42" s="87">
        <f>(34.03*3.3)-(4*2.1*0.8)</f>
        <v>105.57899999999999</v>
      </c>
      <c r="D42" s="87">
        <f t="shared" si="2"/>
        <v>105.57899999999999</v>
      </c>
      <c r="E42" s="73">
        <f t="shared" si="1"/>
        <v>105.57899999999999</v>
      </c>
    </row>
    <row r="43" spans="1:5" s="53" customFormat="1" ht="16.5" hidden="1" customHeight="1" x14ac:dyDescent="0.2">
      <c r="A43" s="266"/>
      <c r="B43" s="78" t="s">
        <v>1054</v>
      </c>
      <c r="C43" s="87">
        <f>(5.81*4.5)</f>
        <v>26.145</v>
      </c>
      <c r="D43" s="87">
        <f t="shared" si="2"/>
        <v>26.145</v>
      </c>
      <c r="E43" s="73">
        <f t="shared" si="1"/>
        <v>26.145</v>
      </c>
    </row>
    <row r="44" spans="1:5" s="53" customFormat="1" ht="16.5" hidden="1" customHeight="1" x14ac:dyDescent="0.2">
      <c r="A44" s="266"/>
      <c r="B44" s="88" t="s">
        <v>1055</v>
      </c>
      <c r="C44" s="87">
        <f>(23.7+23.7+8.5)*3.05</f>
        <v>170.49499999999998</v>
      </c>
      <c r="D44" s="87">
        <f t="shared" si="2"/>
        <v>170.49499999999998</v>
      </c>
      <c r="E44" s="73">
        <f t="shared" si="1"/>
        <v>170.49499999999998</v>
      </c>
    </row>
    <row r="45" spans="1:5" s="53" customFormat="1" ht="16.5" hidden="1" customHeight="1" x14ac:dyDescent="0.2">
      <c r="A45" s="77" t="s">
        <v>1056</v>
      </c>
      <c r="B45" s="88" t="s">
        <v>1055</v>
      </c>
      <c r="C45" s="87">
        <f>(12.2*2.8)+(15.6*1.4)+(22.9*2.8)</f>
        <v>120.11999999999999</v>
      </c>
      <c r="D45" s="87">
        <f t="shared" si="2"/>
        <v>120.11999999999999</v>
      </c>
      <c r="E45" s="73">
        <f t="shared" si="1"/>
        <v>120.11999999999999</v>
      </c>
    </row>
    <row r="46" spans="1:5" s="53" customFormat="1" ht="16.5" hidden="1" customHeight="1" x14ac:dyDescent="0.2">
      <c r="A46" s="264" t="s">
        <v>1036</v>
      </c>
      <c r="B46" s="78" t="s">
        <v>897</v>
      </c>
      <c r="C46" s="87">
        <f>(7.3+1.9+1.77+0.45+2.25+4)*3</f>
        <v>53.009999999999991</v>
      </c>
      <c r="D46" s="87">
        <f>C46</f>
        <v>53.009999999999991</v>
      </c>
      <c r="E46" s="73">
        <f t="shared" si="1"/>
        <v>53.009999999999991</v>
      </c>
    </row>
    <row r="47" spans="1:5" s="53" customFormat="1" ht="16.5" hidden="1" customHeight="1" x14ac:dyDescent="0.2">
      <c r="A47" s="266"/>
      <c r="B47" s="78" t="s">
        <v>881</v>
      </c>
      <c r="C47" s="87">
        <f>7*3</f>
        <v>21</v>
      </c>
      <c r="D47" s="87">
        <f t="shared" ref="D47:E62" si="3">C47</f>
        <v>21</v>
      </c>
      <c r="E47" s="73">
        <f t="shared" si="1"/>
        <v>21</v>
      </c>
    </row>
    <row r="48" spans="1:5" s="53" customFormat="1" ht="16.5" hidden="1" customHeight="1" x14ac:dyDescent="0.2">
      <c r="A48" s="266"/>
      <c r="B48" s="78" t="s">
        <v>882</v>
      </c>
      <c r="C48" s="87">
        <f>7*3</f>
        <v>21</v>
      </c>
      <c r="D48" s="87">
        <f t="shared" si="3"/>
        <v>21</v>
      </c>
      <c r="E48" s="73">
        <f t="shared" si="1"/>
        <v>21</v>
      </c>
    </row>
    <row r="49" spans="1:5" s="53" customFormat="1" ht="16.5" hidden="1" customHeight="1" x14ac:dyDescent="0.2">
      <c r="A49" s="266"/>
      <c r="B49" s="78" t="s">
        <v>906</v>
      </c>
      <c r="C49" s="87">
        <f>6.38*3</f>
        <v>19.14</v>
      </c>
      <c r="D49" s="87">
        <f t="shared" si="3"/>
        <v>19.14</v>
      </c>
      <c r="E49" s="73">
        <f t="shared" si="1"/>
        <v>19.14</v>
      </c>
    </row>
    <row r="50" spans="1:5" s="53" customFormat="1" ht="16.5" hidden="1" customHeight="1" x14ac:dyDescent="0.2">
      <c r="A50" s="266"/>
      <c r="B50" s="78" t="s">
        <v>880</v>
      </c>
      <c r="C50" s="87">
        <f>(7.1*3)+(2*1.2)</f>
        <v>23.699999999999996</v>
      </c>
      <c r="D50" s="87">
        <f t="shared" si="3"/>
        <v>23.699999999999996</v>
      </c>
      <c r="E50" s="73">
        <f t="shared" si="3"/>
        <v>23.699999999999996</v>
      </c>
    </row>
    <row r="51" spans="1:5" s="53" customFormat="1" ht="16.5" hidden="1" customHeight="1" x14ac:dyDescent="0.2">
      <c r="A51" s="266"/>
      <c r="B51" s="78" t="s">
        <v>912</v>
      </c>
      <c r="C51" s="87">
        <f>8.86*3</f>
        <v>26.58</v>
      </c>
      <c r="D51" s="87">
        <f t="shared" si="3"/>
        <v>26.58</v>
      </c>
      <c r="E51" s="73">
        <f t="shared" si="3"/>
        <v>26.58</v>
      </c>
    </row>
    <row r="52" spans="1:5" s="53" customFormat="1" ht="16.5" hidden="1" customHeight="1" x14ac:dyDescent="0.2">
      <c r="A52" s="268"/>
      <c r="B52" s="78" t="s">
        <v>1054</v>
      </c>
      <c r="C52" s="87">
        <f>(5.81*4.5)</f>
        <v>26.145</v>
      </c>
      <c r="D52" s="87">
        <f t="shared" si="3"/>
        <v>26.145</v>
      </c>
      <c r="E52" s="73">
        <f t="shared" si="3"/>
        <v>26.145</v>
      </c>
    </row>
    <row r="53" spans="1:5" s="53" customFormat="1" ht="16.5" hidden="1" customHeight="1" x14ac:dyDescent="0.2">
      <c r="A53" s="264" t="s">
        <v>1037</v>
      </c>
      <c r="B53" s="78" t="s">
        <v>890</v>
      </c>
      <c r="C53" s="87">
        <f>19.92*2.7</f>
        <v>53.784000000000006</v>
      </c>
      <c r="D53" s="87">
        <f t="shared" si="3"/>
        <v>53.784000000000006</v>
      </c>
      <c r="E53" s="73">
        <f t="shared" si="3"/>
        <v>53.784000000000006</v>
      </c>
    </row>
    <row r="54" spans="1:5" s="53" customFormat="1" ht="16.5" hidden="1" customHeight="1" x14ac:dyDescent="0.2">
      <c r="A54" s="266"/>
      <c r="B54" s="78" t="s">
        <v>891</v>
      </c>
      <c r="C54" s="87">
        <f>14.8*2.7</f>
        <v>39.960000000000008</v>
      </c>
      <c r="D54" s="87">
        <f t="shared" si="3"/>
        <v>39.960000000000008</v>
      </c>
      <c r="E54" s="73">
        <f t="shared" si="3"/>
        <v>39.960000000000008</v>
      </c>
    </row>
    <row r="55" spans="1:5" s="53" customFormat="1" ht="16.5" hidden="1" customHeight="1" x14ac:dyDescent="0.2">
      <c r="A55" s="266"/>
      <c r="B55" s="78" t="s">
        <v>892</v>
      </c>
      <c r="C55" s="87">
        <f>14.8*2.7</f>
        <v>39.960000000000008</v>
      </c>
      <c r="D55" s="87">
        <f t="shared" si="3"/>
        <v>39.960000000000008</v>
      </c>
      <c r="E55" s="73">
        <f t="shared" si="3"/>
        <v>39.960000000000008</v>
      </c>
    </row>
    <row r="56" spans="1:5" s="53" customFormat="1" ht="16.5" hidden="1" customHeight="1" x14ac:dyDescent="0.2">
      <c r="A56" s="266"/>
      <c r="B56" s="78" t="s">
        <v>893</v>
      </c>
      <c r="C56" s="87">
        <f>16.84*2.7</f>
        <v>45.468000000000004</v>
      </c>
      <c r="D56" s="87">
        <f t="shared" si="3"/>
        <v>45.468000000000004</v>
      </c>
      <c r="E56" s="73">
        <f t="shared" si="3"/>
        <v>45.468000000000004</v>
      </c>
    </row>
    <row r="57" spans="1:5" s="53" customFormat="1" ht="16.5" hidden="1" customHeight="1" x14ac:dyDescent="0.2">
      <c r="A57" s="266"/>
      <c r="B57" s="78" t="s">
        <v>894</v>
      </c>
      <c r="C57" s="87">
        <f>19.4*2.7</f>
        <v>52.38</v>
      </c>
      <c r="D57" s="87">
        <f t="shared" si="3"/>
        <v>52.38</v>
      </c>
      <c r="E57" s="73">
        <f t="shared" si="3"/>
        <v>52.38</v>
      </c>
    </row>
    <row r="58" spans="1:5" s="53" customFormat="1" ht="16.5" hidden="1" customHeight="1" x14ac:dyDescent="0.2">
      <c r="A58" s="266"/>
      <c r="B58" s="78" t="s">
        <v>895</v>
      </c>
      <c r="C58" s="87">
        <f>17.35*2.7</f>
        <v>46.845000000000006</v>
      </c>
      <c r="D58" s="87">
        <f t="shared" si="3"/>
        <v>46.845000000000006</v>
      </c>
      <c r="E58" s="73">
        <f t="shared" si="3"/>
        <v>46.845000000000006</v>
      </c>
    </row>
    <row r="59" spans="1:5" s="53" customFormat="1" ht="16.5" hidden="1" customHeight="1" x14ac:dyDescent="0.2">
      <c r="A59" s="266"/>
      <c r="B59" s="78" t="s">
        <v>897</v>
      </c>
      <c r="C59" s="87">
        <f>28.3*2.7</f>
        <v>76.410000000000011</v>
      </c>
      <c r="D59" s="87">
        <f t="shared" si="3"/>
        <v>76.410000000000011</v>
      </c>
      <c r="E59" s="73">
        <f t="shared" si="3"/>
        <v>76.410000000000011</v>
      </c>
    </row>
    <row r="60" spans="1:5" s="53" customFormat="1" ht="16.5" hidden="1" customHeight="1" x14ac:dyDescent="0.2">
      <c r="A60" s="266"/>
      <c r="B60" s="78" t="s">
        <v>884</v>
      </c>
      <c r="C60" s="87">
        <f>(7*0.6)+(15.3*2.9)</f>
        <v>48.57</v>
      </c>
      <c r="D60" s="87">
        <f t="shared" si="3"/>
        <v>48.57</v>
      </c>
      <c r="E60" s="73">
        <f t="shared" si="3"/>
        <v>48.57</v>
      </c>
    </row>
    <row r="61" spans="1:5" s="53" customFormat="1" ht="16.5" hidden="1" customHeight="1" x14ac:dyDescent="0.2">
      <c r="A61" s="268"/>
      <c r="B61" s="78" t="s">
        <v>1054</v>
      </c>
      <c r="C61" s="87">
        <f>(7*2.8)</f>
        <v>19.599999999999998</v>
      </c>
      <c r="D61" s="87">
        <f t="shared" si="3"/>
        <v>19.599999999999998</v>
      </c>
      <c r="E61" s="73">
        <f t="shared" si="3"/>
        <v>19.599999999999998</v>
      </c>
    </row>
    <row r="62" spans="1:5" s="53" customFormat="1" ht="16.5" hidden="1" customHeight="1" x14ac:dyDescent="0.2">
      <c r="A62" s="264" t="s">
        <v>1038</v>
      </c>
      <c r="B62" s="78" t="s">
        <v>898</v>
      </c>
      <c r="C62" s="87">
        <f>9.96*2.7</f>
        <v>26.892000000000003</v>
      </c>
      <c r="D62" s="87">
        <f>C62</f>
        <v>26.892000000000003</v>
      </c>
      <c r="E62" s="73">
        <f t="shared" si="3"/>
        <v>26.892000000000003</v>
      </c>
    </row>
    <row r="63" spans="1:5" s="53" customFormat="1" ht="16.5" hidden="1" customHeight="1" x14ac:dyDescent="0.2">
      <c r="A63" s="266"/>
      <c r="B63" s="78" t="s">
        <v>899</v>
      </c>
      <c r="C63" s="87">
        <f>10.92*2.7</f>
        <v>29.484000000000002</v>
      </c>
      <c r="D63" s="87">
        <f t="shared" ref="D63:E87" si="4">C63</f>
        <v>29.484000000000002</v>
      </c>
      <c r="E63" s="73">
        <f t="shared" si="4"/>
        <v>29.484000000000002</v>
      </c>
    </row>
    <row r="64" spans="1:5" s="53" customFormat="1" ht="16.5" hidden="1" customHeight="1" x14ac:dyDescent="0.2">
      <c r="A64" s="266"/>
      <c r="B64" s="78" t="s">
        <v>900</v>
      </c>
      <c r="C64" s="87">
        <f>21.85*2.7</f>
        <v>58.995000000000005</v>
      </c>
      <c r="D64" s="87">
        <f t="shared" si="4"/>
        <v>58.995000000000005</v>
      </c>
      <c r="E64" s="73">
        <f t="shared" si="4"/>
        <v>58.995000000000005</v>
      </c>
    </row>
    <row r="65" spans="1:5" s="53" customFormat="1" ht="16.5" hidden="1" customHeight="1" x14ac:dyDescent="0.2">
      <c r="A65" s="266"/>
      <c r="B65" s="78" t="s">
        <v>896</v>
      </c>
      <c r="C65" s="87">
        <f>25.15*2.7</f>
        <v>67.905000000000001</v>
      </c>
      <c r="D65" s="87">
        <f t="shared" si="4"/>
        <v>67.905000000000001</v>
      </c>
      <c r="E65" s="73">
        <f t="shared" si="4"/>
        <v>67.905000000000001</v>
      </c>
    </row>
    <row r="66" spans="1:5" s="53" customFormat="1" ht="16.5" hidden="1" customHeight="1" x14ac:dyDescent="0.2">
      <c r="A66" s="266"/>
      <c r="B66" s="78" t="s">
        <v>901</v>
      </c>
      <c r="C66" s="87">
        <f>14.5*2.7</f>
        <v>39.150000000000006</v>
      </c>
      <c r="D66" s="87">
        <f t="shared" si="4"/>
        <v>39.150000000000006</v>
      </c>
      <c r="E66" s="73">
        <f t="shared" si="4"/>
        <v>39.150000000000006</v>
      </c>
    </row>
    <row r="67" spans="1:5" s="53" customFormat="1" ht="16.5" hidden="1" customHeight="1" x14ac:dyDescent="0.2">
      <c r="A67" s="266"/>
      <c r="B67" s="78" t="s">
        <v>902</v>
      </c>
      <c r="C67" s="87">
        <f>14.24*2.7</f>
        <v>38.448</v>
      </c>
      <c r="D67" s="87">
        <f t="shared" si="4"/>
        <v>38.448</v>
      </c>
      <c r="E67" s="73">
        <f t="shared" si="4"/>
        <v>38.448</v>
      </c>
    </row>
    <row r="68" spans="1:5" s="53" customFormat="1" ht="16.5" hidden="1" customHeight="1" x14ac:dyDescent="0.2">
      <c r="A68" s="268"/>
      <c r="B68" s="78" t="s">
        <v>903</v>
      </c>
      <c r="C68" s="87">
        <f>17.26*2.7</f>
        <v>46.602000000000004</v>
      </c>
      <c r="D68" s="87">
        <f t="shared" si="4"/>
        <v>46.602000000000004</v>
      </c>
      <c r="E68" s="73">
        <f t="shared" si="4"/>
        <v>46.602000000000004</v>
      </c>
    </row>
    <row r="69" spans="1:5" s="53" customFormat="1" ht="16.5" hidden="1" customHeight="1" x14ac:dyDescent="0.2">
      <c r="A69" s="264" t="s">
        <v>1039</v>
      </c>
      <c r="B69" s="78" t="s">
        <v>914</v>
      </c>
      <c r="C69" s="87">
        <f>20.14*3.5</f>
        <v>70.490000000000009</v>
      </c>
      <c r="D69" s="87">
        <f t="shared" si="4"/>
        <v>70.490000000000009</v>
      </c>
      <c r="E69" s="73">
        <f t="shared" si="4"/>
        <v>70.490000000000009</v>
      </c>
    </row>
    <row r="70" spans="1:5" s="53" customFormat="1" ht="24.75" hidden="1" customHeight="1" x14ac:dyDescent="0.2">
      <c r="A70" s="266"/>
      <c r="B70" s="78" t="s">
        <v>1057</v>
      </c>
      <c r="C70" s="87">
        <f>20.4*3.5</f>
        <v>71.399999999999991</v>
      </c>
      <c r="D70" s="87">
        <f t="shared" si="4"/>
        <v>71.399999999999991</v>
      </c>
      <c r="E70" s="73">
        <f t="shared" si="4"/>
        <v>71.399999999999991</v>
      </c>
    </row>
    <row r="71" spans="1:5" s="53" customFormat="1" ht="16.5" hidden="1" customHeight="1" x14ac:dyDescent="0.2">
      <c r="A71" s="266"/>
      <c r="B71" s="78" t="s">
        <v>903</v>
      </c>
      <c r="C71" s="74">
        <f>(22.78*3.5)</f>
        <v>79.73</v>
      </c>
      <c r="D71" s="87">
        <f t="shared" si="4"/>
        <v>79.73</v>
      </c>
      <c r="E71" s="73">
        <f t="shared" si="4"/>
        <v>79.73</v>
      </c>
    </row>
    <row r="72" spans="1:5" s="53" customFormat="1" ht="16.5" hidden="1" customHeight="1" x14ac:dyDescent="0.2">
      <c r="A72" s="266"/>
      <c r="B72" s="78" t="s">
        <v>1058</v>
      </c>
      <c r="C72" s="74">
        <f>19*3.5</f>
        <v>66.5</v>
      </c>
      <c r="D72" s="87">
        <f t="shared" si="4"/>
        <v>66.5</v>
      </c>
      <c r="E72" s="73">
        <f t="shared" si="4"/>
        <v>66.5</v>
      </c>
    </row>
    <row r="73" spans="1:5" s="53" customFormat="1" ht="16.5" hidden="1" customHeight="1" x14ac:dyDescent="0.2">
      <c r="A73" s="266"/>
      <c r="B73" s="78" t="s">
        <v>884</v>
      </c>
      <c r="C73" s="87">
        <f>(7*0.6)+(15.3*3.5)</f>
        <v>57.750000000000007</v>
      </c>
      <c r="D73" s="87">
        <f t="shared" si="4"/>
        <v>57.750000000000007</v>
      </c>
      <c r="E73" s="73">
        <f t="shared" si="4"/>
        <v>57.750000000000007</v>
      </c>
    </row>
    <row r="74" spans="1:5" s="53" customFormat="1" ht="16.5" hidden="1" customHeight="1" x14ac:dyDescent="0.2">
      <c r="A74" s="266"/>
      <c r="B74" s="78" t="s">
        <v>1054</v>
      </c>
      <c r="C74" s="87">
        <f>(7*3.8)</f>
        <v>26.599999999999998</v>
      </c>
      <c r="D74" s="87">
        <f t="shared" si="4"/>
        <v>26.599999999999998</v>
      </c>
      <c r="E74" s="73">
        <f t="shared" si="4"/>
        <v>26.599999999999998</v>
      </c>
    </row>
    <row r="75" spans="1:5" s="53" customFormat="1" ht="23.25" hidden="1" customHeight="1" x14ac:dyDescent="0.2">
      <c r="A75" s="268"/>
      <c r="B75" s="78" t="s">
        <v>1059</v>
      </c>
      <c r="C75" s="87">
        <f>9.3*1.3</f>
        <v>12.090000000000002</v>
      </c>
      <c r="D75" s="87">
        <f t="shared" si="4"/>
        <v>12.090000000000002</v>
      </c>
      <c r="E75" s="73">
        <f t="shared" si="4"/>
        <v>12.090000000000002</v>
      </c>
    </row>
    <row r="76" spans="1:5" s="53" customFormat="1" ht="16.5" hidden="1" customHeight="1" x14ac:dyDescent="0.2">
      <c r="A76" s="264" t="s">
        <v>1040</v>
      </c>
      <c r="B76" s="78" t="s">
        <v>1060</v>
      </c>
      <c r="C76" s="87">
        <f>31.11*3.5</f>
        <v>108.88499999999999</v>
      </c>
      <c r="D76" s="87">
        <f t="shared" si="4"/>
        <v>108.88499999999999</v>
      </c>
      <c r="E76" s="73">
        <f t="shared" si="4"/>
        <v>108.88499999999999</v>
      </c>
    </row>
    <row r="77" spans="1:5" s="53" customFormat="1" ht="16.5" hidden="1" customHeight="1" x14ac:dyDescent="0.2">
      <c r="A77" s="266"/>
      <c r="B77" s="78" t="s">
        <v>915</v>
      </c>
      <c r="C77" s="74">
        <f>10.9*3.5</f>
        <v>38.15</v>
      </c>
      <c r="D77" s="87">
        <f t="shared" si="4"/>
        <v>38.15</v>
      </c>
      <c r="E77" s="73">
        <f t="shared" si="4"/>
        <v>38.15</v>
      </c>
    </row>
    <row r="78" spans="1:5" s="53" customFormat="1" ht="16.5" hidden="1" customHeight="1" x14ac:dyDescent="0.2">
      <c r="A78" s="268"/>
      <c r="B78" s="78" t="s">
        <v>919</v>
      </c>
      <c r="C78" s="74">
        <f>21.92*3.5</f>
        <v>76.72</v>
      </c>
      <c r="D78" s="87">
        <f t="shared" si="4"/>
        <v>76.72</v>
      </c>
      <c r="E78" s="73">
        <f t="shared" si="4"/>
        <v>76.72</v>
      </c>
    </row>
    <row r="79" spans="1:5" s="53" customFormat="1" ht="16.5" hidden="1" customHeight="1" x14ac:dyDescent="0.2">
      <c r="A79" s="264" t="s">
        <v>1061</v>
      </c>
      <c r="B79" s="78" t="s">
        <v>903</v>
      </c>
      <c r="C79" s="74">
        <f>(19.7*2.5)-(1.1*4.5)</f>
        <v>44.3</v>
      </c>
      <c r="D79" s="87">
        <f t="shared" si="4"/>
        <v>44.3</v>
      </c>
      <c r="E79" s="73">
        <f t="shared" si="4"/>
        <v>44.3</v>
      </c>
    </row>
    <row r="80" spans="1:5" s="53" customFormat="1" ht="16.5" hidden="1" customHeight="1" x14ac:dyDescent="0.2">
      <c r="A80" s="266"/>
      <c r="B80" s="78" t="s">
        <v>1058</v>
      </c>
      <c r="C80" s="87">
        <f>23.79*2.6</f>
        <v>61.853999999999999</v>
      </c>
      <c r="D80" s="87">
        <f t="shared" si="4"/>
        <v>61.853999999999999</v>
      </c>
      <c r="E80" s="73">
        <f t="shared" si="4"/>
        <v>61.853999999999999</v>
      </c>
    </row>
    <row r="81" spans="1:6" s="53" customFormat="1" ht="16.5" hidden="1" customHeight="1" x14ac:dyDescent="0.2">
      <c r="A81" s="266"/>
      <c r="B81" s="78" t="s">
        <v>916</v>
      </c>
      <c r="C81" s="87">
        <f>8.3*2.6</f>
        <v>21.580000000000002</v>
      </c>
      <c r="D81" s="87">
        <f t="shared" si="4"/>
        <v>21.580000000000002</v>
      </c>
      <c r="E81" s="73">
        <f t="shared" si="4"/>
        <v>21.580000000000002</v>
      </c>
    </row>
    <row r="82" spans="1:6" s="53" customFormat="1" ht="16.5" hidden="1" customHeight="1" x14ac:dyDescent="0.2">
      <c r="A82" s="266"/>
      <c r="B82" s="78" t="s">
        <v>881</v>
      </c>
      <c r="C82" s="87">
        <f>7.2*2.6</f>
        <v>18.720000000000002</v>
      </c>
      <c r="D82" s="87">
        <f t="shared" si="4"/>
        <v>18.720000000000002</v>
      </c>
      <c r="E82" s="73">
        <f t="shared" si="4"/>
        <v>18.720000000000002</v>
      </c>
    </row>
    <row r="83" spans="1:6" s="53" customFormat="1" ht="16.5" hidden="1" customHeight="1" x14ac:dyDescent="0.2">
      <c r="A83" s="266"/>
      <c r="B83" s="78" t="s">
        <v>882</v>
      </c>
      <c r="C83" s="87">
        <f>7.2*2.6</f>
        <v>18.720000000000002</v>
      </c>
      <c r="D83" s="87">
        <f t="shared" si="4"/>
        <v>18.720000000000002</v>
      </c>
      <c r="E83" s="73">
        <f t="shared" si="4"/>
        <v>18.720000000000002</v>
      </c>
    </row>
    <row r="84" spans="1:6" s="53" customFormat="1" ht="16.5" hidden="1" customHeight="1" x14ac:dyDescent="0.2">
      <c r="A84" s="266"/>
      <c r="B84" s="78" t="s">
        <v>913</v>
      </c>
      <c r="C84" s="87">
        <f>19.83*2.6</f>
        <v>51.558</v>
      </c>
      <c r="D84" s="87">
        <f t="shared" si="4"/>
        <v>51.558</v>
      </c>
      <c r="E84" s="73">
        <f t="shared" si="4"/>
        <v>51.558</v>
      </c>
    </row>
    <row r="85" spans="1:6" s="53" customFormat="1" ht="16.5" hidden="1" customHeight="1" x14ac:dyDescent="0.2">
      <c r="A85" s="266"/>
      <c r="B85" s="78" t="s">
        <v>894</v>
      </c>
      <c r="C85" s="87">
        <f>21.96*2.6</f>
        <v>57.096000000000004</v>
      </c>
      <c r="D85" s="87">
        <f t="shared" si="4"/>
        <v>57.096000000000004</v>
      </c>
      <c r="E85" s="73">
        <f t="shared" si="4"/>
        <v>57.096000000000004</v>
      </c>
    </row>
    <row r="86" spans="1:6" s="53" customFormat="1" ht="16.5" hidden="1" customHeight="1" x14ac:dyDescent="0.2">
      <c r="A86" s="266"/>
      <c r="B86" s="78" t="s">
        <v>884</v>
      </c>
      <c r="C86" s="87">
        <f>(7*0.6)+(15.3*2.9)</f>
        <v>48.57</v>
      </c>
      <c r="D86" s="87">
        <f t="shared" si="4"/>
        <v>48.57</v>
      </c>
      <c r="E86" s="73">
        <f t="shared" si="4"/>
        <v>48.57</v>
      </c>
    </row>
    <row r="87" spans="1:6" s="53" customFormat="1" ht="16.5" hidden="1" customHeight="1" x14ac:dyDescent="0.2">
      <c r="A87" s="268"/>
      <c r="B87" s="78" t="s">
        <v>1054</v>
      </c>
      <c r="C87" s="87">
        <f>(7*2.8)</f>
        <v>19.599999999999998</v>
      </c>
      <c r="D87" s="87">
        <f t="shared" si="4"/>
        <v>19.599999999999998</v>
      </c>
      <c r="E87" s="73">
        <f t="shared" si="4"/>
        <v>19.599999999999998</v>
      </c>
    </row>
    <row r="88" spans="1:6" s="53" customFormat="1" ht="16.5" hidden="1" customHeight="1" x14ac:dyDescent="0.2">
      <c r="A88" s="264" t="s">
        <v>1062</v>
      </c>
      <c r="B88" s="78" t="s">
        <v>926</v>
      </c>
      <c r="C88" s="87">
        <f>21.19*2.9</f>
        <v>61.451000000000001</v>
      </c>
      <c r="D88" s="87">
        <f t="shared" ref="D88:E103" si="5">C88</f>
        <v>61.451000000000001</v>
      </c>
      <c r="E88" s="73">
        <f t="shared" si="5"/>
        <v>61.451000000000001</v>
      </c>
    </row>
    <row r="89" spans="1:6" s="53" customFormat="1" ht="16.5" hidden="1" customHeight="1" x14ac:dyDescent="0.2">
      <c r="A89" s="266"/>
      <c r="B89" s="78" t="s">
        <v>1063</v>
      </c>
      <c r="C89" s="87">
        <f>10.7*2.9</f>
        <v>31.029999999999998</v>
      </c>
      <c r="D89" s="87">
        <f t="shared" si="5"/>
        <v>31.029999999999998</v>
      </c>
      <c r="E89" s="73">
        <f t="shared" si="5"/>
        <v>31.029999999999998</v>
      </c>
    </row>
    <row r="90" spans="1:6" s="53" customFormat="1" ht="16.5" hidden="1" customHeight="1" x14ac:dyDescent="0.2">
      <c r="A90" s="266"/>
      <c r="B90" s="78" t="s">
        <v>919</v>
      </c>
      <c r="C90" s="87">
        <f>9.15*2.9</f>
        <v>26.535</v>
      </c>
      <c r="D90" s="87">
        <f t="shared" si="5"/>
        <v>26.535</v>
      </c>
      <c r="E90" s="73">
        <f t="shared" si="5"/>
        <v>26.535</v>
      </c>
      <c r="F90" s="43" t="s">
        <v>1064</v>
      </c>
    </row>
    <row r="91" spans="1:6" s="53" customFormat="1" ht="16.5" hidden="1" customHeight="1" x14ac:dyDescent="0.2">
      <c r="A91" s="266"/>
      <c r="B91" s="78" t="s">
        <v>1065</v>
      </c>
      <c r="C91" s="87">
        <f>17.61*2.9</f>
        <v>51.068999999999996</v>
      </c>
      <c r="D91" s="87">
        <f t="shared" si="5"/>
        <v>51.068999999999996</v>
      </c>
      <c r="E91" s="73">
        <f t="shared" si="5"/>
        <v>51.068999999999996</v>
      </c>
    </row>
    <row r="92" spans="1:6" s="53" customFormat="1" ht="16.5" hidden="1" customHeight="1" x14ac:dyDescent="0.2">
      <c r="A92" s="266"/>
      <c r="B92" s="78" t="s">
        <v>927</v>
      </c>
      <c r="C92" s="87">
        <f>5.1*2.9</f>
        <v>14.79</v>
      </c>
      <c r="D92" s="87">
        <f t="shared" si="5"/>
        <v>14.79</v>
      </c>
      <c r="E92" s="73">
        <f t="shared" si="5"/>
        <v>14.79</v>
      </c>
    </row>
    <row r="93" spans="1:6" s="53" customFormat="1" ht="16.5" hidden="1" customHeight="1" x14ac:dyDescent="0.2">
      <c r="A93" s="266"/>
      <c r="B93" s="78" t="s">
        <v>913</v>
      </c>
      <c r="C93" s="87">
        <f>8.67*2.9</f>
        <v>25.143000000000001</v>
      </c>
      <c r="D93" s="87">
        <f t="shared" si="5"/>
        <v>25.143000000000001</v>
      </c>
      <c r="E93" s="73">
        <f t="shared" si="5"/>
        <v>25.143000000000001</v>
      </c>
    </row>
    <row r="94" spans="1:6" s="53" customFormat="1" ht="16.5" hidden="1" customHeight="1" x14ac:dyDescent="0.2">
      <c r="A94" s="264" t="s">
        <v>1066</v>
      </c>
      <c r="B94" s="78" t="s">
        <v>903</v>
      </c>
      <c r="C94" s="74">
        <f>(19.7*2.5)-(1.1*4.5)</f>
        <v>44.3</v>
      </c>
      <c r="D94" s="87">
        <f t="shared" si="5"/>
        <v>44.3</v>
      </c>
      <c r="E94" s="73">
        <f t="shared" si="5"/>
        <v>44.3</v>
      </c>
    </row>
    <row r="95" spans="1:6" s="53" customFormat="1" ht="16.5" hidden="1" customHeight="1" x14ac:dyDescent="0.2">
      <c r="A95" s="266"/>
      <c r="B95" s="78" t="s">
        <v>1058</v>
      </c>
      <c r="C95" s="87">
        <f>23.79*2.6</f>
        <v>61.853999999999999</v>
      </c>
      <c r="D95" s="87">
        <f t="shared" si="5"/>
        <v>61.853999999999999</v>
      </c>
      <c r="E95" s="73">
        <f t="shared" si="5"/>
        <v>61.853999999999999</v>
      </c>
    </row>
    <row r="96" spans="1:6" s="53" customFormat="1" ht="16.5" hidden="1" customHeight="1" x14ac:dyDescent="0.2">
      <c r="A96" s="266"/>
      <c r="B96" s="78" t="s">
        <v>916</v>
      </c>
      <c r="C96" s="87">
        <f>8.3*2.6</f>
        <v>21.580000000000002</v>
      </c>
      <c r="D96" s="87">
        <f t="shared" si="5"/>
        <v>21.580000000000002</v>
      </c>
      <c r="E96" s="73">
        <f t="shared" si="5"/>
        <v>21.580000000000002</v>
      </c>
    </row>
    <row r="97" spans="1:6" s="53" customFormat="1" ht="16.5" hidden="1" customHeight="1" x14ac:dyDescent="0.2">
      <c r="A97" s="266"/>
      <c r="B97" s="78" t="s">
        <v>881</v>
      </c>
      <c r="C97" s="87">
        <f>7.2*2.6</f>
        <v>18.720000000000002</v>
      </c>
      <c r="D97" s="87">
        <f t="shared" si="5"/>
        <v>18.720000000000002</v>
      </c>
      <c r="E97" s="73">
        <f t="shared" si="5"/>
        <v>18.720000000000002</v>
      </c>
    </row>
    <row r="98" spans="1:6" s="53" customFormat="1" ht="16.5" hidden="1" customHeight="1" x14ac:dyDescent="0.2">
      <c r="A98" s="266"/>
      <c r="B98" s="78" t="s">
        <v>882</v>
      </c>
      <c r="C98" s="87">
        <f>7.2*2.6</f>
        <v>18.720000000000002</v>
      </c>
      <c r="D98" s="87">
        <f t="shared" si="5"/>
        <v>18.720000000000002</v>
      </c>
      <c r="E98" s="73">
        <f t="shared" si="5"/>
        <v>18.720000000000002</v>
      </c>
    </row>
    <row r="99" spans="1:6" s="53" customFormat="1" ht="16.5" hidden="1" customHeight="1" x14ac:dyDescent="0.2">
      <c r="A99" s="266"/>
      <c r="B99" s="78" t="s">
        <v>913</v>
      </c>
      <c r="C99" s="87">
        <f>11.51*2.6</f>
        <v>29.926000000000002</v>
      </c>
      <c r="D99" s="87">
        <f t="shared" si="5"/>
        <v>29.926000000000002</v>
      </c>
      <c r="E99" s="73">
        <f t="shared" si="5"/>
        <v>29.926000000000002</v>
      </c>
    </row>
    <row r="100" spans="1:6" s="53" customFormat="1" ht="16.5" hidden="1" customHeight="1" x14ac:dyDescent="0.2">
      <c r="A100" s="266"/>
      <c r="B100" s="78" t="s">
        <v>894</v>
      </c>
      <c r="C100" s="87">
        <f>21.96*2.6</f>
        <v>57.096000000000004</v>
      </c>
      <c r="D100" s="87">
        <f t="shared" si="5"/>
        <v>57.096000000000004</v>
      </c>
      <c r="E100" s="73">
        <f t="shared" si="5"/>
        <v>57.096000000000004</v>
      </c>
    </row>
    <row r="101" spans="1:6" s="53" customFormat="1" ht="16.5" hidden="1" customHeight="1" x14ac:dyDescent="0.2">
      <c r="A101" s="266"/>
      <c r="B101" s="78" t="s">
        <v>884</v>
      </c>
      <c r="C101" s="87">
        <f>(7*0.6)+(15.3*2.9)</f>
        <v>48.57</v>
      </c>
      <c r="D101" s="87">
        <f t="shared" si="5"/>
        <v>48.57</v>
      </c>
      <c r="E101" s="73">
        <f t="shared" si="5"/>
        <v>48.57</v>
      </c>
    </row>
    <row r="102" spans="1:6" s="53" customFormat="1" ht="16.5" hidden="1" customHeight="1" x14ac:dyDescent="0.2">
      <c r="A102" s="268"/>
      <c r="B102" s="78" t="s">
        <v>1054</v>
      </c>
      <c r="C102" s="87">
        <f>(7*2.8)</f>
        <v>19.599999999999998</v>
      </c>
      <c r="D102" s="87">
        <f t="shared" si="5"/>
        <v>19.599999999999998</v>
      </c>
      <c r="E102" s="73">
        <f t="shared" si="5"/>
        <v>19.599999999999998</v>
      </c>
    </row>
    <row r="103" spans="1:6" s="53" customFormat="1" ht="16.5" hidden="1" customHeight="1" x14ac:dyDescent="0.2">
      <c r="A103" s="264" t="s">
        <v>1067</v>
      </c>
      <c r="B103" s="78" t="s">
        <v>926</v>
      </c>
      <c r="C103" s="87">
        <f>21.19*2.9</f>
        <v>61.451000000000001</v>
      </c>
      <c r="D103" s="87">
        <f t="shared" si="5"/>
        <v>61.451000000000001</v>
      </c>
      <c r="E103" s="73">
        <f t="shared" si="5"/>
        <v>61.451000000000001</v>
      </c>
    </row>
    <row r="104" spans="1:6" s="53" customFormat="1" ht="16.5" hidden="1" customHeight="1" x14ac:dyDescent="0.2">
      <c r="A104" s="266"/>
      <c r="B104" s="78" t="s">
        <v>1063</v>
      </c>
      <c r="C104" s="87">
        <f>10.7*2.9</f>
        <v>31.029999999999998</v>
      </c>
      <c r="D104" s="87">
        <f t="shared" ref="D104:E119" si="6">C104</f>
        <v>31.029999999999998</v>
      </c>
      <c r="E104" s="73">
        <f t="shared" si="6"/>
        <v>31.029999999999998</v>
      </c>
    </row>
    <row r="105" spans="1:6" s="53" customFormat="1" ht="16.5" hidden="1" customHeight="1" x14ac:dyDescent="0.2">
      <c r="A105" s="266"/>
      <c r="B105" s="78" t="s">
        <v>919</v>
      </c>
      <c r="C105" s="87">
        <f>9.15*2.9</f>
        <v>26.535</v>
      </c>
      <c r="D105" s="87">
        <f t="shared" si="6"/>
        <v>26.535</v>
      </c>
      <c r="E105" s="73">
        <f t="shared" si="6"/>
        <v>26.535</v>
      </c>
      <c r="F105" s="43" t="s">
        <v>1064</v>
      </c>
    </row>
    <row r="106" spans="1:6" s="53" customFormat="1" ht="16.5" hidden="1" customHeight="1" x14ac:dyDescent="0.2">
      <c r="A106" s="266"/>
      <c r="B106" s="78" t="s">
        <v>1065</v>
      </c>
      <c r="C106" s="87">
        <f>17.61*2.9</f>
        <v>51.068999999999996</v>
      </c>
      <c r="D106" s="87">
        <f t="shared" si="6"/>
        <v>51.068999999999996</v>
      </c>
      <c r="E106" s="73">
        <f t="shared" si="6"/>
        <v>51.068999999999996</v>
      </c>
    </row>
    <row r="107" spans="1:6" s="53" customFormat="1" ht="16.5" hidden="1" customHeight="1" x14ac:dyDescent="0.2">
      <c r="A107" s="266"/>
      <c r="B107" s="78" t="s">
        <v>927</v>
      </c>
      <c r="C107" s="87">
        <f>5.1*2.9</f>
        <v>14.79</v>
      </c>
      <c r="D107" s="87">
        <f t="shared" si="6"/>
        <v>14.79</v>
      </c>
      <c r="E107" s="73">
        <f t="shared" si="6"/>
        <v>14.79</v>
      </c>
    </row>
    <row r="108" spans="1:6" s="53" customFormat="1" ht="16.5" hidden="1" customHeight="1" x14ac:dyDescent="0.2">
      <c r="A108" s="266"/>
      <c r="B108" s="78" t="s">
        <v>913</v>
      </c>
      <c r="C108" s="87">
        <f>8.67*2.9</f>
        <v>25.143000000000001</v>
      </c>
      <c r="D108" s="87">
        <f t="shared" si="6"/>
        <v>25.143000000000001</v>
      </c>
      <c r="E108" s="73">
        <f t="shared" si="6"/>
        <v>25.143000000000001</v>
      </c>
    </row>
    <row r="109" spans="1:6" s="53" customFormat="1" ht="16.5" hidden="1" customHeight="1" x14ac:dyDescent="0.2">
      <c r="A109" s="264" t="s">
        <v>1043</v>
      </c>
      <c r="B109" s="78" t="s">
        <v>903</v>
      </c>
      <c r="C109" s="87">
        <f>22.52*2.8</f>
        <v>63.055999999999997</v>
      </c>
      <c r="D109" s="87">
        <f t="shared" si="6"/>
        <v>63.055999999999997</v>
      </c>
      <c r="E109" s="73">
        <f t="shared" si="6"/>
        <v>63.055999999999997</v>
      </c>
    </row>
    <row r="110" spans="1:6" s="53" customFormat="1" ht="16.5" hidden="1" customHeight="1" x14ac:dyDescent="0.2">
      <c r="A110" s="266"/>
      <c r="B110" s="78" t="s">
        <v>1058</v>
      </c>
      <c r="C110" s="87">
        <f>11.7*2.8</f>
        <v>32.76</v>
      </c>
      <c r="D110" s="87">
        <f t="shared" si="6"/>
        <v>32.76</v>
      </c>
      <c r="E110" s="73">
        <f t="shared" si="6"/>
        <v>32.76</v>
      </c>
    </row>
    <row r="111" spans="1:6" s="53" customFormat="1" ht="16.5" hidden="1" customHeight="1" x14ac:dyDescent="0.2">
      <c r="A111" s="266"/>
      <c r="B111" s="78" t="s">
        <v>916</v>
      </c>
      <c r="C111" s="87">
        <f>8.3*2.6</f>
        <v>21.580000000000002</v>
      </c>
      <c r="D111" s="87">
        <f t="shared" si="6"/>
        <v>21.580000000000002</v>
      </c>
      <c r="E111" s="73">
        <f t="shared" si="6"/>
        <v>21.580000000000002</v>
      </c>
    </row>
    <row r="112" spans="1:6" s="53" customFormat="1" ht="16.5" hidden="1" customHeight="1" x14ac:dyDescent="0.2">
      <c r="A112" s="266"/>
      <c r="B112" s="78" t="s">
        <v>881</v>
      </c>
      <c r="C112" s="87">
        <f>7.2*2.6</f>
        <v>18.720000000000002</v>
      </c>
      <c r="D112" s="87">
        <f t="shared" si="6"/>
        <v>18.720000000000002</v>
      </c>
      <c r="E112" s="73">
        <f t="shared" si="6"/>
        <v>18.720000000000002</v>
      </c>
    </row>
    <row r="113" spans="1:5" s="53" customFormat="1" ht="16.5" hidden="1" customHeight="1" x14ac:dyDescent="0.2">
      <c r="A113" s="266"/>
      <c r="B113" s="78" t="s">
        <v>882</v>
      </c>
      <c r="C113" s="87">
        <f>7.2*2.6</f>
        <v>18.720000000000002</v>
      </c>
      <c r="D113" s="87">
        <f t="shared" si="6"/>
        <v>18.720000000000002</v>
      </c>
      <c r="E113" s="73">
        <f t="shared" si="6"/>
        <v>18.720000000000002</v>
      </c>
    </row>
    <row r="114" spans="1:5" s="53" customFormat="1" ht="16.5" hidden="1" customHeight="1" x14ac:dyDescent="0.2">
      <c r="A114" s="266"/>
      <c r="B114" s="78" t="s">
        <v>913</v>
      </c>
      <c r="C114" s="87">
        <f>21.85*2.8</f>
        <v>61.18</v>
      </c>
      <c r="D114" s="87">
        <f t="shared" si="6"/>
        <v>61.18</v>
      </c>
      <c r="E114" s="73">
        <f t="shared" si="6"/>
        <v>61.18</v>
      </c>
    </row>
    <row r="115" spans="1:5" s="53" customFormat="1" ht="16.5" hidden="1" customHeight="1" x14ac:dyDescent="0.2">
      <c r="A115" s="266"/>
      <c r="B115" s="78" t="s">
        <v>894</v>
      </c>
      <c r="C115" s="87">
        <f>8.23*2.8</f>
        <v>23.044</v>
      </c>
      <c r="D115" s="87">
        <f t="shared" si="6"/>
        <v>23.044</v>
      </c>
      <c r="E115" s="73">
        <f t="shared" si="6"/>
        <v>23.044</v>
      </c>
    </row>
    <row r="116" spans="1:5" s="53" customFormat="1" ht="16.5" hidden="1" customHeight="1" x14ac:dyDescent="0.2">
      <c r="A116" s="266"/>
      <c r="B116" s="78" t="s">
        <v>884</v>
      </c>
      <c r="C116" s="87">
        <f>(7*0.6)+(15.3*2.9)</f>
        <v>48.57</v>
      </c>
      <c r="D116" s="87">
        <f t="shared" si="6"/>
        <v>48.57</v>
      </c>
      <c r="E116" s="73">
        <f t="shared" si="6"/>
        <v>48.57</v>
      </c>
    </row>
    <row r="117" spans="1:5" s="53" customFormat="1" ht="16.5" hidden="1" customHeight="1" x14ac:dyDescent="0.2">
      <c r="A117" s="268"/>
      <c r="B117" s="78" t="s">
        <v>1054</v>
      </c>
      <c r="C117" s="87">
        <f>(7*2.8)</f>
        <v>19.599999999999998</v>
      </c>
      <c r="D117" s="87">
        <f t="shared" si="6"/>
        <v>19.599999999999998</v>
      </c>
      <c r="E117" s="73">
        <f t="shared" si="6"/>
        <v>19.599999999999998</v>
      </c>
    </row>
    <row r="118" spans="1:5" s="53" customFormat="1" ht="16.5" hidden="1" customHeight="1" x14ac:dyDescent="0.2">
      <c r="A118" s="264" t="s">
        <v>1068</v>
      </c>
      <c r="B118" s="78" t="s">
        <v>926</v>
      </c>
      <c r="C118" s="87">
        <f>21.19*2.9</f>
        <v>61.451000000000001</v>
      </c>
      <c r="D118" s="87">
        <f t="shared" si="6"/>
        <v>61.451000000000001</v>
      </c>
      <c r="E118" s="73">
        <f t="shared" si="6"/>
        <v>61.451000000000001</v>
      </c>
    </row>
    <row r="119" spans="1:5" s="53" customFormat="1" ht="16.5" hidden="1" customHeight="1" x14ac:dyDescent="0.2">
      <c r="A119" s="266"/>
      <c r="B119" s="78" t="s">
        <v>1063</v>
      </c>
      <c r="C119" s="87">
        <f>10.7*2.9</f>
        <v>31.029999999999998</v>
      </c>
      <c r="D119" s="87">
        <f t="shared" si="6"/>
        <v>31.029999999999998</v>
      </c>
      <c r="E119" s="73">
        <f t="shared" si="6"/>
        <v>31.029999999999998</v>
      </c>
    </row>
    <row r="120" spans="1:5" s="53" customFormat="1" ht="16.5" hidden="1" customHeight="1" x14ac:dyDescent="0.2">
      <c r="A120" s="266"/>
      <c r="B120" s="78" t="s">
        <v>1065</v>
      </c>
      <c r="C120" s="87">
        <f>17.61*2.9</f>
        <v>51.068999999999996</v>
      </c>
      <c r="D120" s="87">
        <f t="shared" ref="D120:E130" si="7">C120</f>
        <v>51.068999999999996</v>
      </c>
      <c r="E120" s="73">
        <f t="shared" si="7"/>
        <v>51.068999999999996</v>
      </c>
    </row>
    <row r="121" spans="1:5" s="53" customFormat="1" ht="16.5" hidden="1" customHeight="1" x14ac:dyDescent="0.2">
      <c r="A121" s="266"/>
      <c r="B121" s="78" t="s">
        <v>927</v>
      </c>
      <c r="C121" s="87">
        <f>5.1*2.9</f>
        <v>14.79</v>
      </c>
      <c r="D121" s="87">
        <f t="shared" si="7"/>
        <v>14.79</v>
      </c>
      <c r="E121" s="73">
        <f t="shared" si="7"/>
        <v>14.79</v>
      </c>
    </row>
    <row r="122" spans="1:5" s="53" customFormat="1" ht="16.5" hidden="1" customHeight="1" x14ac:dyDescent="0.2">
      <c r="A122" s="266"/>
      <c r="B122" s="78" t="s">
        <v>913</v>
      </c>
      <c r="C122" s="87">
        <f>8.67*2.9</f>
        <v>25.143000000000001</v>
      </c>
      <c r="D122" s="87">
        <f t="shared" si="7"/>
        <v>25.143000000000001</v>
      </c>
      <c r="E122" s="73">
        <f t="shared" si="7"/>
        <v>25.143000000000001</v>
      </c>
    </row>
    <row r="123" spans="1:5" s="53" customFormat="1" ht="16.5" hidden="1" customHeight="1" x14ac:dyDescent="0.2">
      <c r="A123" s="264" t="s">
        <v>1069</v>
      </c>
      <c r="B123" s="78" t="s">
        <v>903</v>
      </c>
      <c r="C123" s="87">
        <f>22.52*2.8</f>
        <v>63.055999999999997</v>
      </c>
      <c r="D123" s="87">
        <f t="shared" si="7"/>
        <v>63.055999999999997</v>
      </c>
      <c r="E123" s="73">
        <f t="shared" si="7"/>
        <v>63.055999999999997</v>
      </c>
    </row>
    <row r="124" spans="1:5" s="53" customFormat="1" ht="16.5" hidden="1" customHeight="1" x14ac:dyDescent="0.2">
      <c r="A124" s="266"/>
      <c r="B124" s="78" t="s">
        <v>1058</v>
      </c>
      <c r="C124" s="87">
        <f>11.7*2.8</f>
        <v>32.76</v>
      </c>
      <c r="D124" s="87">
        <f t="shared" si="7"/>
        <v>32.76</v>
      </c>
      <c r="E124" s="73">
        <f t="shared" si="7"/>
        <v>32.76</v>
      </c>
    </row>
    <row r="125" spans="1:5" s="53" customFormat="1" ht="16.5" hidden="1" customHeight="1" x14ac:dyDescent="0.2">
      <c r="A125" s="266"/>
      <c r="B125" s="78" t="s">
        <v>916</v>
      </c>
      <c r="C125" s="87">
        <f>8.3*2.6</f>
        <v>21.580000000000002</v>
      </c>
      <c r="D125" s="87">
        <f t="shared" si="7"/>
        <v>21.580000000000002</v>
      </c>
      <c r="E125" s="73">
        <f t="shared" si="7"/>
        <v>21.580000000000002</v>
      </c>
    </row>
    <row r="126" spans="1:5" s="53" customFormat="1" ht="16.5" hidden="1" customHeight="1" x14ac:dyDescent="0.2">
      <c r="A126" s="266"/>
      <c r="B126" s="78" t="s">
        <v>881</v>
      </c>
      <c r="C126" s="87">
        <f>7.2*2.6</f>
        <v>18.720000000000002</v>
      </c>
      <c r="D126" s="87">
        <f t="shared" si="7"/>
        <v>18.720000000000002</v>
      </c>
      <c r="E126" s="73">
        <f t="shared" si="7"/>
        <v>18.720000000000002</v>
      </c>
    </row>
    <row r="127" spans="1:5" s="53" customFormat="1" ht="16.5" hidden="1" customHeight="1" x14ac:dyDescent="0.2">
      <c r="A127" s="266"/>
      <c r="B127" s="78" t="s">
        <v>882</v>
      </c>
      <c r="C127" s="87">
        <f>7.2*2.6</f>
        <v>18.720000000000002</v>
      </c>
      <c r="D127" s="87">
        <f t="shared" si="7"/>
        <v>18.720000000000002</v>
      </c>
      <c r="E127" s="73">
        <f t="shared" si="7"/>
        <v>18.720000000000002</v>
      </c>
    </row>
    <row r="128" spans="1:5" s="53" customFormat="1" ht="16.5" hidden="1" customHeight="1" x14ac:dyDescent="0.2">
      <c r="A128" s="266"/>
      <c r="B128" s="78" t="s">
        <v>913</v>
      </c>
      <c r="C128" s="87">
        <f>21.85*2.8</f>
        <v>61.18</v>
      </c>
      <c r="D128" s="87">
        <f t="shared" si="7"/>
        <v>61.18</v>
      </c>
      <c r="E128" s="73">
        <f t="shared" si="7"/>
        <v>61.18</v>
      </c>
    </row>
    <row r="129" spans="1:5" s="53" customFormat="1" ht="16.5" hidden="1" customHeight="1" x14ac:dyDescent="0.2">
      <c r="A129" s="266"/>
      <c r="B129" s="78" t="s">
        <v>884</v>
      </c>
      <c r="C129" s="87">
        <f>(7*0.6)+(15.3*2.9)</f>
        <v>48.57</v>
      </c>
      <c r="D129" s="87">
        <f t="shared" si="7"/>
        <v>48.57</v>
      </c>
      <c r="E129" s="73">
        <f t="shared" si="7"/>
        <v>48.57</v>
      </c>
    </row>
    <row r="130" spans="1:5" s="53" customFormat="1" ht="16.5" hidden="1" customHeight="1" x14ac:dyDescent="0.2">
      <c r="A130" s="268"/>
      <c r="B130" s="78" t="s">
        <v>1054</v>
      </c>
      <c r="C130" s="87">
        <f>(7*2.8)</f>
        <v>19.599999999999998</v>
      </c>
      <c r="D130" s="87">
        <f t="shared" si="7"/>
        <v>19.599999999999998</v>
      </c>
      <c r="E130" s="73">
        <f t="shared" si="7"/>
        <v>19.599999999999998</v>
      </c>
    </row>
    <row r="131" spans="1:5" s="53" customFormat="1" ht="16.5" hidden="1" customHeight="1" x14ac:dyDescent="0.2">
      <c r="A131" s="210" t="s">
        <v>1070</v>
      </c>
      <c r="B131" s="211"/>
      <c r="C131" s="211"/>
      <c r="D131" s="211"/>
      <c r="E131" s="73">
        <f>SUM(E33:E130)</f>
        <v>4299.5590000000002</v>
      </c>
    </row>
    <row r="132" spans="1:5" s="53" customFormat="1" ht="16.5" hidden="1" customHeight="1" x14ac:dyDescent="0.2">
      <c r="A132" s="210" t="s">
        <v>1071</v>
      </c>
      <c r="B132" s="211"/>
      <c r="C132" s="211"/>
      <c r="D132" s="211"/>
      <c r="E132" s="73">
        <v>3999.37</v>
      </c>
    </row>
    <row r="133" spans="1:5" s="43" customFormat="1" ht="14.25" hidden="1" customHeight="1" x14ac:dyDescent="0.2">
      <c r="A133" s="210" t="s">
        <v>1072</v>
      </c>
      <c r="B133" s="211"/>
      <c r="C133" s="211"/>
      <c r="D133" s="211"/>
      <c r="E133" s="50">
        <v>2573.87</v>
      </c>
    </row>
    <row r="134" spans="1:5" s="43" customFormat="1" ht="16.5" hidden="1" customHeight="1" x14ac:dyDescent="0.2">
      <c r="A134" s="212" t="s">
        <v>1073</v>
      </c>
      <c r="B134" s="213"/>
      <c r="C134" s="213"/>
      <c r="D134" s="213"/>
      <c r="E134" s="72">
        <f>E132-E133</f>
        <v>1425.5</v>
      </c>
    </row>
    <row r="135" spans="1:5" s="43" customFormat="1" ht="16.5" hidden="1" customHeight="1" x14ac:dyDescent="0.2">
      <c r="A135" s="212" t="s">
        <v>1074</v>
      </c>
      <c r="B135" s="213"/>
      <c r="C135" s="213"/>
      <c r="D135" s="213"/>
      <c r="E135" s="72">
        <f>E132-E131</f>
        <v>-300.18900000000031</v>
      </c>
    </row>
    <row r="136" spans="1:5" s="43" customFormat="1" ht="54.75" hidden="1" customHeight="1" x14ac:dyDescent="0.2">
      <c r="A136" s="45" t="s">
        <v>966</v>
      </c>
      <c r="B136" s="214" t="s">
        <v>190</v>
      </c>
      <c r="C136" s="214"/>
      <c r="D136" s="214"/>
      <c r="E136" s="214"/>
    </row>
    <row r="137" spans="1:5" s="53" customFormat="1" ht="16.5" hidden="1" customHeight="1" x14ac:dyDescent="0.2">
      <c r="A137" s="281" t="s">
        <v>821</v>
      </c>
      <c r="B137" s="282"/>
      <c r="C137" s="84" t="s">
        <v>1049</v>
      </c>
      <c r="D137" s="84" t="s">
        <v>1075</v>
      </c>
      <c r="E137" s="114" t="s">
        <v>885</v>
      </c>
    </row>
    <row r="138" spans="1:5" s="53" customFormat="1" ht="16.5" hidden="1" customHeight="1" x14ac:dyDescent="0.2">
      <c r="A138" s="264" t="s">
        <v>1035</v>
      </c>
      <c r="B138" s="78" t="s">
        <v>1076</v>
      </c>
      <c r="C138" s="87">
        <f>12.12*2.6</f>
        <v>31.512</v>
      </c>
      <c r="D138" s="87">
        <f>0.8*2.1</f>
        <v>1.6800000000000002</v>
      </c>
      <c r="E138" s="73">
        <f t="shared" ref="E138:E150" si="8">C138-D138</f>
        <v>29.832000000000001</v>
      </c>
    </row>
    <row r="139" spans="1:5" s="53" customFormat="1" ht="16.5" hidden="1" customHeight="1" x14ac:dyDescent="0.2">
      <c r="A139" s="266"/>
      <c r="B139" s="78" t="s">
        <v>1077</v>
      </c>
      <c r="C139" s="87">
        <f>12.12*2.6</f>
        <v>31.512</v>
      </c>
      <c r="D139" s="87">
        <f>0.8*2.1</f>
        <v>1.6800000000000002</v>
      </c>
      <c r="E139" s="73">
        <f t="shared" si="8"/>
        <v>29.832000000000001</v>
      </c>
    </row>
    <row r="140" spans="1:5" s="53" customFormat="1" ht="16.5" hidden="1" customHeight="1" x14ac:dyDescent="0.2">
      <c r="A140" s="266"/>
      <c r="B140" s="78" t="s">
        <v>881</v>
      </c>
      <c r="C140" s="87">
        <f>7.06*2.6</f>
        <v>18.355999999999998</v>
      </c>
      <c r="D140" s="87">
        <f>0.9*2.1</f>
        <v>1.8900000000000001</v>
      </c>
      <c r="E140" s="73">
        <f t="shared" si="8"/>
        <v>16.465999999999998</v>
      </c>
    </row>
    <row r="141" spans="1:5" s="53" customFormat="1" ht="16.5" hidden="1" customHeight="1" x14ac:dyDescent="0.2">
      <c r="A141" s="266"/>
      <c r="B141" s="78" t="s">
        <v>882</v>
      </c>
      <c r="C141" s="87">
        <f>7.06*2.6</f>
        <v>18.355999999999998</v>
      </c>
      <c r="D141" s="87">
        <f>0.9*2.1</f>
        <v>1.8900000000000001</v>
      </c>
      <c r="E141" s="73">
        <f t="shared" si="8"/>
        <v>16.465999999999998</v>
      </c>
    </row>
    <row r="142" spans="1:5" s="53" customFormat="1" ht="16.5" hidden="1" customHeight="1" x14ac:dyDescent="0.2">
      <c r="A142" s="266"/>
      <c r="B142" s="78" t="s">
        <v>906</v>
      </c>
      <c r="C142" s="87">
        <f>6.38*2.6</f>
        <v>16.588000000000001</v>
      </c>
      <c r="D142" s="87">
        <f>0.8*2.1</f>
        <v>1.6800000000000002</v>
      </c>
      <c r="E142" s="73">
        <f t="shared" si="8"/>
        <v>14.908000000000001</v>
      </c>
    </row>
    <row r="143" spans="1:5" s="53" customFormat="1" ht="16.5" hidden="1" customHeight="1" x14ac:dyDescent="0.2">
      <c r="A143" s="266"/>
      <c r="B143" s="78" t="s">
        <v>880</v>
      </c>
      <c r="C143" s="87">
        <f>14.83*2.6</f>
        <v>38.558</v>
      </c>
      <c r="D143" s="87">
        <f>2*0.8*2.1</f>
        <v>3.3600000000000003</v>
      </c>
      <c r="E143" s="73">
        <f t="shared" si="8"/>
        <v>35.198</v>
      </c>
    </row>
    <row r="144" spans="1:5" s="53" customFormat="1" ht="16.5" hidden="1" customHeight="1" x14ac:dyDescent="0.2">
      <c r="A144" s="264" t="s">
        <v>1036</v>
      </c>
      <c r="B144" s="78" t="s">
        <v>881</v>
      </c>
      <c r="C144" s="87">
        <f>7.06*2.6</f>
        <v>18.355999999999998</v>
      </c>
      <c r="D144" s="87">
        <f>0.9*2.1</f>
        <v>1.8900000000000001</v>
      </c>
      <c r="E144" s="73">
        <f t="shared" si="8"/>
        <v>16.465999999999998</v>
      </c>
    </row>
    <row r="145" spans="1:5" s="53" customFormat="1" ht="16.5" hidden="1" customHeight="1" x14ac:dyDescent="0.2">
      <c r="A145" s="266"/>
      <c r="B145" s="78" t="s">
        <v>882</v>
      </c>
      <c r="C145" s="87">
        <f>7.06*2.6</f>
        <v>18.355999999999998</v>
      </c>
      <c r="D145" s="87">
        <f>0.9*2.1</f>
        <v>1.8900000000000001</v>
      </c>
      <c r="E145" s="73">
        <f t="shared" si="8"/>
        <v>16.465999999999998</v>
      </c>
    </row>
    <row r="146" spans="1:5" s="53" customFormat="1" ht="16.5" hidden="1" customHeight="1" x14ac:dyDescent="0.2">
      <c r="A146" s="266"/>
      <c r="B146" s="78" t="s">
        <v>906</v>
      </c>
      <c r="C146" s="87">
        <f>6.38*2.6</f>
        <v>16.588000000000001</v>
      </c>
      <c r="D146" s="87">
        <f>0.8*2.1</f>
        <v>1.6800000000000002</v>
      </c>
      <c r="E146" s="73">
        <f t="shared" si="8"/>
        <v>14.908000000000001</v>
      </c>
    </row>
    <row r="147" spans="1:5" s="53" customFormat="1" ht="16.5" hidden="1" customHeight="1" x14ac:dyDescent="0.2">
      <c r="A147" s="266"/>
      <c r="B147" s="78" t="s">
        <v>880</v>
      </c>
      <c r="C147" s="87">
        <f>((2.56+2.56+2)*2.6)+(2*1.2)</f>
        <v>20.911999999999999</v>
      </c>
      <c r="D147" s="87">
        <f>0.9*2.1</f>
        <v>1.8900000000000001</v>
      </c>
      <c r="E147" s="73">
        <f t="shared" si="8"/>
        <v>19.021999999999998</v>
      </c>
    </row>
    <row r="148" spans="1:5" s="53" customFormat="1" ht="16.5" hidden="1" customHeight="1" x14ac:dyDescent="0.2">
      <c r="A148" s="264" t="s">
        <v>1022</v>
      </c>
      <c r="B148" s="78" t="s">
        <v>881</v>
      </c>
      <c r="C148" s="87">
        <f>7.2*2.6</f>
        <v>18.720000000000002</v>
      </c>
      <c r="D148" s="87">
        <f t="shared" ref="D148:D149" si="9">0.9*2.1</f>
        <v>1.8900000000000001</v>
      </c>
      <c r="E148" s="73">
        <f t="shared" si="8"/>
        <v>16.830000000000002</v>
      </c>
    </row>
    <row r="149" spans="1:5" s="53" customFormat="1" ht="16.5" hidden="1" customHeight="1" x14ac:dyDescent="0.2">
      <c r="A149" s="266"/>
      <c r="B149" s="78" t="s">
        <v>882</v>
      </c>
      <c r="C149" s="87">
        <f>7.2*2.6</f>
        <v>18.720000000000002</v>
      </c>
      <c r="D149" s="87">
        <f t="shared" si="9"/>
        <v>1.8900000000000001</v>
      </c>
      <c r="E149" s="73">
        <f t="shared" si="8"/>
        <v>16.830000000000002</v>
      </c>
    </row>
    <row r="150" spans="1:5" s="53" customFormat="1" ht="16.5" hidden="1" customHeight="1" x14ac:dyDescent="0.2">
      <c r="A150" s="266"/>
      <c r="B150" s="78" t="s">
        <v>1078</v>
      </c>
      <c r="C150" s="87">
        <f>7.7*2.6</f>
        <v>20.02</v>
      </c>
      <c r="D150" s="87">
        <f>0.9*2.1</f>
        <v>1.8900000000000001</v>
      </c>
      <c r="E150" s="73">
        <f t="shared" si="8"/>
        <v>18.13</v>
      </c>
    </row>
    <row r="151" spans="1:5" s="53" customFormat="1" ht="16.5" hidden="1" customHeight="1" x14ac:dyDescent="0.2">
      <c r="A151" s="268"/>
      <c r="B151" s="78" t="s">
        <v>963</v>
      </c>
      <c r="C151" s="87">
        <f>5.1*2.6</f>
        <v>13.26</v>
      </c>
      <c r="D151" s="87">
        <f>0.6*2.1*8</f>
        <v>10.08</v>
      </c>
      <c r="E151" s="73">
        <f>C151-D151</f>
        <v>3.1799999999999997</v>
      </c>
    </row>
    <row r="152" spans="1:5" s="53" customFormat="1" ht="16.5" hidden="1" customHeight="1" x14ac:dyDescent="0.2">
      <c r="A152" s="264" t="s">
        <v>1079</v>
      </c>
      <c r="B152" s="78" t="s">
        <v>881</v>
      </c>
      <c r="C152" s="87">
        <f>7.2*2.6</f>
        <v>18.720000000000002</v>
      </c>
      <c r="D152" s="87">
        <f t="shared" ref="D152:D153" si="10">0.9*2.1</f>
        <v>1.8900000000000001</v>
      </c>
      <c r="E152" s="73">
        <f t="shared" ref="E152:E154" si="11">C152-D152</f>
        <v>16.830000000000002</v>
      </c>
    </row>
    <row r="153" spans="1:5" s="53" customFormat="1" ht="16.5" hidden="1" customHeight="1" x14ac:dyDescent="0.2">
      <c r="A153" s="266"/>
      <c r="B153" s="78" t="s">
        <v>882</v>
      </c>
      <c r="C153" s="87">
        <f>7.2*2.6</f>
        <v>18.720000000000002</v>
      </c>
      <c r="D153" s="87">
        <f t="shared" si="10"/>
        <v>1.8900000000000001</v>
      </c>
      <c r="E153" s="73">
        <f t="shared" si="11"/>
        <v>16.830000000000002</v>
      </c>
    </row>
    <row r="154" spans="1:5" s="53" customFormat="1" ht="16.5" hidden="1" customHeight="1" x14ac:dyDescent="0.2">
      <c r="A154" s="266"/>
      <c r="B154" s="78" t="s">
        <v>1078</v>
      </c>
      <c r="C154" s="87">
        <f>7.7*2.6</f>
        <v>20.02</v>
      </c>
      <c r="D154" s="87">
        <f>0.9*2.1</f>
        <v>1.8900000000000001</v>
      </c>
      <c r="E154" s="73">
        <f t="shared" si="11"/>
        <v>18.13</v>
      </c>
    </row>
    <row r="155" spans="1:5" s="53" customFormat="1" ht="16.5" hidden="1" customHeight="1" x14ac:dyDescent="0.2">
      <c r="A155" s="268"/>
      <c r="B155" s="78" t="s">
        <v>963</v>
      </c>
      <c r="C155" s="87">
        <f>5.1*2.6</f>
        <v>13.26</v>
      </c>
      <c r="D155" s="87">
        <f>0.6*2.1*8</f>
        <v>10.08</v>
      </c>
      <c r="E155" s="73">
        <f>C155-D155</f>
        <v>3.1799999999999997</v>
      </c>
    </row>
    <row r="156" spans="1:5" s="53" customFormat="1" ht="16.5" hidden="1" customHeight="1" x14ac:dyDescent="0.2">
      <c r="A156" s="264" t="s">
        <v>1080</v>
      </c>
      <c r="B156" s="78" t="s">
        <v>881</v>
      </c>
      <c r="C156" s="87">
        <f>7.2*2.6</f>
        <v>18.720000000000002</v>
      </c>
      <c r="D156" s="87">
        <f t="shared" ref="D156:D157" si="12">0.9*2.1</f>
        <v>1.8900000000000001</v>
      </c>
      <c r="E156" s="73">
        <f t="shared" ref="E156:E158" si="13">C156-D156</f>
        <v>16.830000000000002</v>
      </c>
    </row>
    <row r="157" spans="1:5" s="53" customFormat="1" ht="16.5" hidden="1" customHeight="1" x14ac:dyDescent="0.2">
      <c r="A157" s="266"/>
      <c r="B157" s="78" t="s">
        <v>882</v>
      </c>
      <c r="C157" s="87">
        <f>7.2*2.6</f>
        <v>18.720000000000002</v>
      </c>
      <c r="D157" s="87">
        <f t="shared" si="12"/>
        <v>1.8900000000000001</v>
      </c>
      <c r="E157" s="73">
        <f t="shared" si="13"/>
        <v>16.830000000000002</v>
      </c>
    </row>
    <row r="158" spans="1:5" s="53" customFormat="1" ht="16.5" hidden="1" customHeight="1" x14ac:dyDescent="0.2">
      <c r="A158" s="266"/>
      <c r="B158" s="78" t="s">
        <v>1078</v>
      </c>
      <c r="C158" s="87">
        <f>7.7*2.6</f>
        <v>20.02</v>
      </c>
      <c r="D158" s="87">
        <f>0.9*2.1</f>
        <v>1.8900000000000001</v>
      </c>
      <c r="E158" s="73">
        <f t="shared" si="13"/>
        <v>18.13</v>
      </c>
    </row>
    <row r="159" spans="1:5" s="53" customFormat="1" ht="16.5" hidden="1" customHeight="1" x14ac:dyDescent="0.2">
      <c r="A159" s="268"/>
      <c r="B159" s="78" t="s">
        <v>963</v>
      </c>
      <c r="C159" s="87">
        <f>5.1*2.61</f>
        <v>13.310999999999998</v>
      </c>
      <c r="D159" s="87">
        <f>0.6*2.1*8</f>
        <v>10.08</v>
      </c>
      <c r="E159" s="73">
        <f>C159-D159</f>
        <v>3.2309999999999981</v>
      </c>
    </row>
    <row r="160" spans="1:5" s="53" customFormat="1" ht="16.5" hidden="1" customHeight="1" x14ac:dyDescent="0.2">
      <c r="A160" s="210" t="s">
        <v>970</v>
      </c>
      <c r="B160" s="211"/>
      <c r="C160" s="211"/>
      <c r="D160" s="211"/>
      <c r="E160" s="73">
        <f>SUM(E138:E159)</f>
        <v>374.52499999999998</v>
      </c>
    </row>
    <row r="161" spans="1:6" s="53" customFormat="1" ht="16.5" hidden="1" customHeight="1" x14ac:dyDescent="0.2">
      <c r="A161" s="210" t="s">
        <v>967</v>
      </c>
      <c r="B161" s="211"/>
      <c r="C161" s="211"/>
      <c r="D161" s="211"/>
      <c r="E161" s="73">
        <v>1001.76</v>
      </c>
    </row>
    <row r="162" spans="1:6" s="43" customFormat="1" ht="14.25" hidden="1" customHeight="1" x14ac:dyDescent="0.2">
      <c r="A162" s="257" t="s">
        <v>968</v>
      </c>
      <c r="B162" s="258"/>
      <c r="C162" s="258"/>
      <c r="D162" s="258"/>
      <c r="E162" s="98">
        <v>0</v>
      </c>
    </row>
    <row r="163" spans="1:6" ht="14.25" hidden="1" customHeight="1" x14ac:dyDescent="0.2">
      <c r="A163" s="212" t="s">
        <v>969</v>
      </c>
      <c r="B163" s="213"/>
      <c r="C163" s="213"/>
      <c r="D163" s="213"/>
      <c r="E163" s="97">
        <f>E160-E162</f>
        <v>374.52499999999998</v>
      </c>
    </row>
    <row r="164" spans="1:6" ht="14.25" hidden="1" customHeight="1" x14ac:dyDescent="0.2">
      <c r="A164" s="228"/>
      <c r="B164" s="229"/>
      <c r="C164" s="82"/>
      <c r="D164" s="82"/>
      <c r="E164" s="83"/>
    </row>
    <row r="165" spans="1:6" ht="17.25" customHeight="1" x14ac:dyDescent="0.2">
      <c r="A165" s="44" t="s">
        <v>1185</v>
      </c>
      <c r="B165" s="221" t="s">
        <v>204</v>
      </c>
      <c r="C165" s="221"/>
      <c r="D165" s="221"/>
      <c r="E165" s="221"/>
    </row>
    <row r="166" spans="1:6" s="43" customFormat="1" ht="16.5" customHeight="1" x14ac:dyDescent="0.2">
      <c r="A166" s="123" t="s">
        <v>1186</v>
      </c>
      <c r="B166" s="285" t="s">
        <v>206</v>
      </c>
      <c r="C166" s="285"/>
      <c r="D166" s="285"/>
      <c r="E166" s="285"/>
      <c r="F166" s="71"/>
    </row>
    <row r="167" spans="1:6" s="43" customFormat="1" ht="27.75" customHeight="1" x14ac:dyDescent="0.2">
      <c r="A167" s="45" t="s">
        <v>1190</v>
      </c>
      <c r="B167" s="214" t="s">
        <v>208</v>
      </c>
      <c r="C167" s="214"/>
      <c r="D167" s="214"/>
      <c r="E167" s="214"/>
      <c r="F167" s="71"/>
    </row>
    <row r="168" spans="1:6" s="53" customFormat="1" ht="16.5" customHeight="1" x14ac:dyDescent="0.2">
      <c r="A168" s="281" t="s">
        <v>821</v>
      </c>
      <c r="B168" s="282"/>
      <c r="C168" s="78"/>
      <c r="D168" s="78" t="s">
        <v>822</v>
      </c>
      <c r="E168" s="73" t="s">
        <v>908</v>
      </c>
    </row>
    <row r="169" spans="1:6" s="53" customFormat="1" ht="16.5" customHeight="1" x14ac:dyDescent="0.2">
      <c r="A169" s="77" t="s">
        <v>1021</v>
      </c>
      <c r="B169" s="74"/>
      <c r="C169" s="74"/>
      <c r="D169" s="87">
        <f>595*1.5</f>
        <v>892.5</v>
      </c>
      <c r="E169" s="73">
        <f>D169</f>
        <v>892.5</v>
      </c>
    </row>
    <row r="170" spans="1:6" s="53" customFormat="1" ht="16.5" customHeight="1" x14ac:dyDescent="0.2">
      <c r="A170" s="113" t="s">
        <v>920</v>
      </c>
      <c r="B170" s="74"/>
      <c r="C170" s="74"/>
      <c r="D170" s="87">
        <v>1250</v>
      </c>
      <c r="E170" s="73">
        <f t="shared" ref="E170:E173" si="14">D170</f>
        <v>1250</v>
      </c>
    </row>
    <row r="171" spans="1:6" s="53" customFormat="1" ht="16.5" customHeight="1" x14ac:dyDescent="0.2">
      <c r="A171" s="77" t="s">
        <v>1187</v>
      </c>
      <c r="B171" s="74"/>
      <c r="C171" s="74"/>
      <c r="D171" s="87">
        <v>1250</v>
      </c>
      <c r="E171" s="73">
        <f t="shared" si="14"/>
        <v>1250</v>
      </c>
    </row>
    <row r="172" spans="1:6" s="53" customFormat="1" ht="16.5" customHeight="1" x14ac:dyDescent="0.2">
      <c r="A172" s="77" t="s">
        <v>1188</v>
      </c>
      <c r="B172" s="74"/>
      <c r="C172" s="74"/>
      <c r="D172" s="87">
        <v>1250</v>
      </c>
      <c r="E172" s="73">
        <f t="shared" si="14"/>
        <v>1250</v>
      </c>
    </row>
    <row r="173" spans="1:6" s="53" customFormat="1" ht="16.5" customHeight="1" x14ac:dyDescent="0.2">
      <c r="A173" s="77" t="s">
        <v>1189</v>
      </c>
      <c r="B173" s="74"/>
      <c r="C173" s="74"/>
      <c r="D173" s="87">
        <v>1085</v>
      </c>
      <c r="E173" s="73">
        <f t="shared" si="14"/>
        <v>1085</v>
      </c>
    </row>
    <row r="174" spans="1:6" s="53" customFormat="1" ht="16.5" customHeight="1" x14ac:dyDescent="0.2">
      <c r="A174" s="210" t="s">
        <v>1191</v>
      </c>
      <c r="B174" s="211"/>
      <c r="C174" s="211"/>
      <c r="D174" s="211"/>
      <c r="E174" s="73">
        <f>SUM(E169:E173)</f>
        <v>5727.5</v>
      </c>
    </row>
    <row r="175" spans="1:6" s="53" customFormat="1" ht="16.5" customHeight="1" x14ac:dyDescent="0.2">
      <c r="A175" s="210" t="s">
        <v>1192</v>
      </c>
      <c r="B175" s="211"/>
      <c r="C175" s="211"/>
      <c r="D175" s="211"/>
      <c r="E175" s="73">
        <v>6284.36</v>
      </c>
    </row>
    <row r="176" spans="1:6" s="43" customFormat="1" ht="14.25" customHeight="1" x14ac:dyDescent="0.2">
      <c r="A176" s="210" t="s">
        <v>1450</v>
      </c>
      <c r="B176" s="211"/>
      <c r="C176" s="211"/>
      <c r="D176" s="211"/>
      <c r="E176" s="50">
        <v>2819.48</v>
      </c>
    </row>
    <row r="177" spans="1:6" s="43" customFormat="1" ht="16.5" customHeight="1" x14ac:dyDescent="0.2">
      <c r="A177" s="212" t="s">
        <v>1451</v>
      </c>
      <c r="B177" s="213"/>
      <c r="C177" s="213"/>
      <c r="D177" s="213"/>
      <c r="E177" s="72">
        <f>E174-E176</f>
        <v>2908.02</v>
      </c>
    </row>
    <row r="178" spans="1:6" ht="14.25" customHeight="1" x14ac:dyDescent="0.2">
      <c r="A178" s="246"/>
      <c r="B178" s="247"/>
      <c r="C178" s="52"/>
      <c r="D178" s="52"/>
      <c r="E178" s="62"/>
    </row>
    <row r="179" spans="1:6" s="43" customFormat="1" ht="41.25" customHeight="1" x14ac:dyDescent="0.2">
      <c r="A179" s="45" t="s">
        <v>1193</v>
      </c>
      <c r="B179" s="214" t="s">
        <v>218</v>
      </c>
      <c r="C179" s="214"/>
      <c r="D179" s="214"/>
      <c r="E179" s="214"/>
      <c r="F179" s="71"/>
    </row>
    <row r="180" spans="1:6" s="53" customFormat="1" ht="16.5" customHeight="1" x14ac:dyDescent="0.2">
      <c r="A180" s="281" t="s">
        <v>821</v>
      </c>
      <c r="B180" s="282"/>
      <c r="C180" s="78"/>
      <c r="D180" s="78" t="s">
        <v>822</v>
      </c>
      <c r="E180" s="73" t="s">
        <v>908</v>
      </c>
    </row>
    <row r="181" spans="1:6" s="53" customFormat="1" ht="16.5" customHeight="1" x14ac:dyDescent="0.2">
      <c r="A181" s="77" t="s">
        <v>1021</v>
      </c>
      <c r="B181" s="74"/>
      <c r="C181" s="74"/>
      <c r="D181" s="87">
        <f>595*1.5</f>
        <v>892.5</v>
      </c>
      <c r="E181" s="73">
        <f>D181</f>
        <v>892.5</v>
      </c>
    </row>
    <row r="182" spans="1:6" s="53" customFormat="1" ht="16.5" customHeight="1" x14ac:dyDescent="0.2">
      <c r="A182" s="113" t="s">
        <v>920</v>
      </c>
      <c r="B182" s="74"/>
      <c r="C182" s="74"/>
      <c r="D182" s="87">
        <v>1250</v>
      </c>
      <c r="E182" s="73">
        <f t="shared" ref="E182:E185" si="15">D182</f>
        <v>1250</v>
      </c>
    </row>
    <row r="183" spans="1:6" s="53" customFormat="1" ht="16.5" customHeight="1" x14ac:dyDescent="0.2">
      <c r="A183" s="77" t="s">
        <v>1187</v>
      </c>
      <c r="B183" s="74"/>
      <c r="C183" s="74"/>
      <c r="D183" s="87">
        <v>1250</v>
      </c>
      <c r="E183" s="73">
        <f t="shared" si="15"/>
        <v>1250</v>
      </c>
    </row>
    <row r="184" spans="1:6" s="53" customFormat="1" ht="16.5" customHeight="1" x14ac:dyDescent="0.2">
      <c r="A184" s="77" t="s">
        <v>1188</v>
      </c>
      <c r="B184" s="74"/>
      <c r="C184" s="74"/>
      <c r="D184" s="87">
        <v>1250</v>
      </c>
      <c r="E184" s="73">
        <f t="shared" si="15"/>
        <v>1250</v>
      </c>
    </row>
    <row r="185" spans="1:6" s="53" customFormat="1" ht="16.5" customHeight="1" x14ac:dyDescent="0.2">
      <c r="A185" s="77" t="s">
        <v>1189</v>
      </c>
      <c r="B185" s="74"/>
      <c r="C185" s="74"/>
      <c r="D185" s="87">
        <v>1085</v>
      </c>
      <c r="E185" s="73">
        <f t="shared" si="15"/>
        <v>1085</v>
      </c>
    </row>
    <row r="186" spans="1:6" s="53" customFormat="1" ht="16.5" customHeight="1" x14ac:dyDescent="0.2">
      <c r="A186" s="210" t="s">
        <v>1194</v>
      </c>
      <c r="B186" s="211"/>
      <c r="C186" s="211"/>
      <c r="D186" s="211"/>
      <c r="E186" s="73">
        <f>SUM(E181:E185)</f>
        <v>5727.5</v>
      </c>
    </row>
    <row r="187" spans="1:6" s="53" customFormat="1" ht="16.5" customHeight="1" x14ac:dyDescent="0.2">
      <c r="A187" s="210" t="s">
        <v>1195</v>
      </c>
      <c r="B187" s="211"/>
      <c r="C187" s="211"/>
      <c r="D187" s="211"/>
      <c r="E187" s="73">
        <v>6284.36</v>
      </c>
    </row>
    <row r="188" spans="1:6" s="43" customFormat="1" ht="14.25" customHeight="1" x14ac:dyDescent="0.2">
      <c r="A188" s="210" t="s">
        <v>1455</v>
      </c>
      <c r="B188" s="211"/>
      <c r="C188" s="211"/>
      <c r="D188" s="211"/>
      <c r="E188" s="50">
        <v>2819.48</v>
      </c>
    </row>
    <row r="189" spans="1:6" s="43" customFormat="1" ht="16.5" customHeight="1" x14ac:dyDescent="0.2">
      <c r="A189" s="212" t="s">
        <v>1456</v>
      </c>
      <c r="B189" s="213"/>
      <c r="C189" s="213"/>
      <c r="D189" s="213"/>
      <c r="E189" s="72">
        <f>E186-E188</f>
        <v>2908.02</v>
      </c>
    </row>
    <row r="190" spans="1:6" ht="14.25" customHeight="1" x14ac:dyDescent="0.2">
      <c r="A190" s="246"/>
      <c r="B190" s="247"/>
      <c r="C190" s="52"/>
      <c r="D190" s="52"/>
      <c r="E190" s="62"/>
    </row>
    <row r="191" spans="1:6" s="43" customFormat="1" ht="29.25" customHeight="1" x14ac:dyDescent="0.2">
      <c r="A191" s="45" t="s">
        <v>1452</v>
      </c>
      <c r="B191" s="214" t="s">
        <v>212</v>
      </c>
      <c r="C191" s="214"/>
      <c r="D191" s="214"/>
      <c r="E191" s="214"/>
      <c r="F191" s="71"/>
    </row>
    <row r="192" spans="1:6" s="53" customFormat="1" ht="16.5" customHeight="1" x14ac:dyDescent="0.2">
      <c r="A192" s="281" t="s">
        <v>821</v>
      </c>
      <c r="B192" s="282"/>
      <c r="C192" s="78"/>
      <c r="D192" s="78" t="s">
        <v>822</v>
      </c>
      <c r="E192" s="73" t="s">
        <v>908</v>
      </c>
    </row>
    <row r="193" spans="1:6" s="53" customFormat="1" ht="16.5" customHeight="1" x14ac:dyDescent="0.2">
      <c r="A193" s="113" t="s">
        <v>920</v>
      </c>
      <c r="B193" s="74"/>
      <c r="C193" s="74"/>
      <c r="D193" s="87">
        <v>1250</v>
      </c>
      <c r="E193" s="73">
        <f t="shared" ref="E193:E195" si="16">D193</f>
        <v>1250</v>
      </c>
    </row>
    <row r="194" spans="1:6" s="53" customFormat="1" ht="16.5" customHeight="1" x14ac:dyDescent="0.2">
      <c r="A194" s="77" t="s">
        <v>1187</v>
      </c>
      <c r="B194" s="74"/>
      <c r="C194" s="74"/>
      <c r="D194" s="87">
        <v>1250</v>
      </c>
      <c r="E194" s="73">
        <f t="shared" si="16"/>
        <v>1250</v>
      </c>
    </row>
    <row r="195" spans="1:6" s="53" customFormat="1" ht="16.5" customHeight="1" x14ac:dyDescent="0.2">
      <c r="A195" s="77" t="s">
        <v>1188</v>
      </c>
      <c r="B195" s="74"/>
      <c r="C195" s="74"/>
      <c r="D195" s="87">
        <v>408.02</v>
      </c>
      <c r="E195" s="73">
        <f t="shared" si="16"/>
        <v>408.02</v>
      </c>
    </row>
    <row r="196" spans="1:6" s="53" customFormat="1" ht="16.5" customHeight="1" x14ac:dyDescent="0.2">
      <c r="A196" s="210" t="s">
        <v>1453</v>
      </c>
      <c r="B196" s="211"/>
      <c r="C196" s="211"/>
      <c r="D196" s="211"/>
      <c r="E196" s="73">
        <f>SUM(E193:E195)</f>
        <v>2908.02</v>
      </c>
    </row>
    <row r="197" spans="1:6" s="53" customFormat="1" ht="16.5" customHeight="1" x14ac:dyDescent="0.2">
      <c r="A197" s="210" t="s">
        <v>1454</v>
      </c>
      <c r="B197" s="211"/>
      <c r="C197" s="211"/>
      <c r="D197" s="211"/>
      <c r="E197" s="73">
        <v>6284.36</v>
      </c>
    </row>
    <row r="198" spans="1:6" s="43" customFormat="1" ht="14.25" customHeight="1" x14ac:dyDescent="0.2">
      <c r="A198" s="210" t="s">
        <v>1457</v>
      </c>
      <c r="B198" s="211"/>
      <c r="C198" s="211"/>
      <c r="D198" s="211"/>
      <c r="E198" s="50">
        <v>0</v>
      </c>
    </row>
    <row r="199" spans="1:6" s="43" customFormat="1" ht="16.5" customHeight="1" x14ac:dyDescent="0.2">
      <c r="A199" s="212" t="s">
        <v>1458</v>
      </c>
      <c r="B199" s="213"/>
      <c r="C199" s="213"/>
      <c r="D199" s="213"/>
      <c r="E199" s="72">
        <f>E196-E198</f>
        <v>2908.02</v>
      </c>
    </row>
    <row r="200" spans="1:6" ht="14.25" customHeight="1" x14ac:dyDescent="0.2">
      <c r="A200" s="246"/>
      <c r="B200" s="247"/>
      <c r="C200" s="52"/>
      <c r="D200" s="52"/>
      <c r="E200" s="62"/>
    </row>
    <row r="201" spans="1:6" s="43" customFormat="1" ht="16.5" customHeight="1" x14ac:dyDescent="0.2">
      <c r="A201" s="123" t="s">
        <v>1461</v>
      </c>
      <c r="B201" s="285" t="s">
        <v>214</v>
      </c>
      <c r="C201" s="285"/>
      <c r="D201" s="285"/>
      <c r="E201" s="285"/>
      <c r="F201" s="71"/>
    </row>
    <row r="202" spans="1:6" s="43" customFormat="1" ht="27.75" customHeight="1" x14ac:dyDescent="0.2">
      <c r="A202" s="45" t="s">
        <v>1190</v>
      </c>
      <c r="B202" s="214" t="s">
        <v>216</v>
      </c>
      <c r="C202" s="214"/>
      <c r="D202" s="214"/>
      <c r="E202" s="214"/>
      <c r="F202" s="71"/>
    </row>
    <row r="203" spans="1:6" s="53" customFormat="1" ht="16.5" customHeight="1" x14ac:dyDescent="0.2">
      <c r="A203" s="281" t="s">
        <v>821</v>
      </c>
      <c r="B203" s="282"/>
      <c r="C203" s="78"/>
      <c r="D203" s="84" t="s">
        <v>822</v>
      </c>
      <c r="E203" s="73" t="s">
        <v>908</v>
      </c>
    </row>
    <row r="204" spans="1:6" s="53" customFormat="1" ht="16.5" customHeight="1" x14ac:dyDescent="0.2">
      <c r="A204" s="113" t="s">
        <v>1464</v>
      </c>
      <c r="B204" s="74"/>
      <c r="C204" s="74"/>
      <c r="D204" s="87">
        <v>555.45000000000005</v>
      </c>
      <c r="E204" s="73">
        <f t="shared" ref="E204:E206" si="17">D204</f>
        <v>555.45000000000005</v>
      </c>
    </row>
    <row r="205" spans="1:6" s="53" customFormat="1" ht="16.5" customHeight="1" x14ac:dyDescent="0.2">
      <c r="A205" s="77" t="s">
        <v>1465</v>
      </c>
      <c r="B205" s="74"/>
      <c r="C205" s="74"/>
      <c r="D205" s="87">
        <v>458.95</v>
      </c>
      <c r="E205" s="73">
        <f t="shared" si="17"/>
        <v>458.95</v>
      </c>
    </row>
    <row r="206" spans="1:6" s="53" customFormat="1" ht="16.5" customHeight="1" x14ac:dyDescent="0.2">
      <c r="A206" s="77" t="s">
        <v>1466</v>
      </c>
      <c r="B206" s="74"/>
      <c r="C206" s="74"/>
      <c r="D206" s="87">
        <v>546.20000000000005</v>
      </c>
      <c r="E206" s="73">
        <f t="shared" si="17"/>
        <v>546.20000000000005</v>
      </c>
    </row>
    <row r="207" spans="1:6" s="53" customFormat="1" ht="16.5" customHeight="1" x14ac:dyDescent="0.2">
      <c r="A207" s="77"/>
      <c r="B207" s="74"/>
      <c r="C207" s="74"/>
      <c r="D207" s="87"/>
      <c r="E207" s="73"/>
    </row>
    <row r="208" spans="1:6" s="53" customFormat="1" ht="16.5" customHeight="1" x14ac:dyDescent="0.2">
      <c r="A208" s="210" t="s">
        <v>1191</v>
      </c>
      <c r="B208" s="211"/>
      <c r="C208" s="211"/>
      <c r="D208" s="211"/>
      <c r="E208" s="73">
        <f>SUM(E204:E207)</f>
        <v>1560.6000000000001</v>
      </c>
    </row>
    <row r="209" spans="1:6" s="53" customFormat="1" ht="16.5" customHeight="1" x14ac:dyDescent="0.2">
      <c r="A209" s="210" t="s">
        <v>1192</v>
      </c>
      <c r="B209" s="211"/>
      <c r="C209" s="211"/>
      <c r="D209" s="211"/>
      <c r="E209" s="73">
        <v>3121.87</v>
      </c>
    </row>
    <row r="210" spans="1:6" s="43" customFormat="1" ht="14.25" customHeight="1" x14ac:dyDescent="0.2">
      <c r="A210" s="210" t="s">
        <v>1450</v>
      </c>
      <c r="B210" s="211"/>
      <c r="C210" s="211"/>
      <c r="D210" s="211"/>
      <c r="E210" s="50">
        <v>0</v>
      </c>
    </row>
    <row r="211" spans="1:6" s="43" customFormat="1" ht="16.5" customHeight="1" x14ac:dyDescent="0.2">
      <c r="A211" s="212" t="s">
        <v>1451</v>
      </c>
      <c r="B211" s="213"/>
      <c r="C211" s="213"/>
      <c r="D211" s="213"/>
      <c r="E211" s="72">
        <f>E208-E210</f>
        <v>1560.6000000000001</v>
      </c>
    </row>
    <row r="212" spans="1:6" ht="14.25" customHeight="1" x14ac:dyDescent="0.2">
      <c r="A212" s="246"/>
      <c r="B212" s="247"/>
      <c r="C212" s="52"/>
      <c r="D212" s="52"/>
      <c r="E212" s="62"/>
    </row>
    <row r="213" spans="1:6" s="43" customFormat="1" ht="41.25" customHeight="1" x14ac:dyDescent="0.2">
      <c r="A213" s="45" t="s">
        <v>1463</v>
      </c>
      <c r="B213" s="214" t="s">
        <v>218</v>
      </c>
      <c r="C213" s="214"/>
      <c r="D213" s="214"/>
      <c r="E213" s="214"/>
      <c r="F213" s="71"/>
    </row>
    <row r="214" spans="1:6" s="53" customFormat="1" ht="16.5" customHeight="1" x14ac:dyDescent="0.2">
      <c r="A214" s="281" t="s">
        <v>821</v>
      </c>
      <c r="B214" s="282"/>
      <c r="C214" s="78"/>
      <c r="D214" s="78" t="s">
        <v>822</v>
      </c>
      <c r="E214" s="73" t="s">
        <v>908</v>
      </c>
    </row>
    <row r="215" spans="1:6" s="53" customFormat="1" ht="16.5" customHeight="1" x14ac:dyDescent="0.2">
      <c r="A215" s="113" t="s">
        <v>1464</v>
      </c>
      <c r="B215" s="74"/>
      <c r="C215" s="74"/>
      <c r="D215" s="87">
        <v>555.45000000000005</v>
      </c>
      <c r="E215" s="73">
        <f t="shared" ref="E215:E217" si="18">D215</f>
        <v>555.45000000000005</v>
      </c>
    </row>
    <row r="216" spans="1:6" s="53" customFormat="1" ht="16.5" customHeight="1" x14ac:dyDescent="0.2">
      <c r="A216" s="77" t="s">
        <v>1465</v>
      </c>
      <c r="B216" s="74"/>
      <c r="C216" s="74"/>
      <c r="D216" s="87">
        <v>458.95</v>
      </c>
      <c r="E216" s="73">
        <f t="shared" si="18"/>
        <v>458.95</v>
      </c>
    </row>
    <row r="217" spans="1:6" s="53" customFormat="1" ht="16.5" customHeight="1" x14ac:dyDescent="0.2">
      <c r="A217" s="77" t="s">
        <v>1466</v>
      </c>
      <c r="B217" s="74"/>
      <c r="C217" s="74"/>
      <c r="D217" s="87">
        <v>546.20000000000005</v>
      </c>
      <c r="E217" s="73">
        <f t="shared" si="18"/>
        <v>546.20000000000005</v>
      </c>
    </row>
    <row r="218" spans="1:6" s="53" customFormat="1" ht="16.5" customHeight="1" x14ac:dyDescent="0.2">
      <c r="A218" s="77"/>
      <c r="B218" s="74"/>
      <c r="C218" s="74"/>
      <c r="D218" s="87"/>
      <c r="E218" s="73"/>
    </row>
    <row r="219" spans="1:6" s="53" customFormat="1" ht="16.5" customHeight="1" x14ac:dyDescent="0.2">
      <c r="A219" s="210" t="s">
        <v>1194</v>
      </c>
      <c r="B219" s="211"/>
      <c r="C219" s="211"/>
      <c r="D219" s="211"/>
      <c r="E219" s="73">
        <f>SUM(E215:E218)</f>
        <v>1560.6000000000001</v>
      </c>
    </row>
    <row r="220" spans="1:6" s="53" customFormat="1" ht="16.5" customHeight="1" x14ac:dyDescent="0.2">
      <c r="A220" s="210" t="s">
        <v>1195</v>
      </c>
      <c r="B220" s="211"/>
      <c r="C220" s="211"/>
      <c r="D220" s="211"/>
      <c r="E220" s="73">
        <v>3121.87</v>
      </c>
    </row>
    <row r="221" spans="1:6" s="43" customFormat="1" ht="14.25" customHeight="1" x14ac:dyDescent="0.2">
      <c r="A221" s="210" t="s">
        <v>1455</v>
      </c>
      <c r="B221" s="211"/>
      <c r="C221" s="211"/>
      <c r="D221" s="211"/>
      <c r="E221" s="50">
        <v>0</v>
      </c>
    </row>
    <row r="222" spans="1:6" s="43" customFormat="1" ht="16.5" customHeight="1" x14ac:dyDescent="0.2">
      <c r="A222" s="212" t="s">
        <v>1456</v>
      </c>
      <c r="B222" s="213"/>
      <c r="C222" s="213"/>
      <c r="D222" s="213"/>
      <c r="E222" s="72">
        <f>E219-E221</f>
        <v>1560.6000000000001</v>
      </c>
    </row>
    <row r="223" spans="1:6" ht="14.25" customHeight="1" x14ac:dyDescent="0.2">
      <c r="A223" s="246"/>
      <c r="B223" s="247"/>
      <c r="C223" s="52"/>
      <c r="D223" s="52"/>
      <c r="E223" s="62"/>
    </row>
    <row r="224" spans="1:6" s="43" customFormat="1" ht="41.25" customHeight="1" x14ac:dyDescent="0.2">
      <c r="A224" s="45" t="s">
        <v>1467</v>
      </c>
      <c r="B224" s="214" t="s">
        <v>220</v>
      </c>
      <c r="C224" s="214"/>
      <c r="D224" s="214"/>
      <c r="E224" s="214"/>
      <c r="F224" s="71"/>
    </row>
    <row r="225" spans="1:5" s="53" customFormat="1" ht="16.5" customHeight="1" x14ac:dyDescent="0.2">
      <c r="A225" s="281" t="s">
        <v>821</v>
      </c>
      <c r="B225" s="282"/>
      <c r="C225" s="78"/>
      <c r="D225" s="78" t="s">
        <v>822</v>
      </c>
      <c r="E225" s="73" t="s">
        <v>908</v>
      </c>
    </row>
    <row r="226" spans="1:5" s="53" customFormat="1" ht="16.5" customHeight="1" x14ac:dyDescent="0.2">
      <c r="A226" s="113" t="s">
        <v>1464</v>
      </c>
      <c r="B226" s="74"/>
      <c r="C226" s="74"/>
      <c r="D226" s="87">
        <v>555.45000000000005</v>
      </c>
      <c r="E226" s="73">
        <f t="shared" ref="E226:E228" si="19">D226</f>
        <v>555.45000000000005</v>
      </c>
    </row>
    <row r="227" spans="1:5" s="53" customFormat="1" ht="16.5" customHeight="1" x14ac:dyDescent="0.2">
      <c r="A227" s="77" t="s">
        <v>1465</v>
      </c>
      <c r="B227" s="74"/>
      <c r="C227" s="74"/>
      <c r="D227" s="87">
        <v>458.95</v>
      </c>
      <c r="E227" s="73">
        <f t="shared" si="19"/>
        <v>458.95</v>
      </c>
    </row>
    <row r="228" spans="1:5" s="53" customFormat="1" ht="16.5" customHeight="1" x14ac:dyDescent="0.2">
      <c r="A228" s="77" t="s">
        <v>1466</v>
      </c>
      <c r="B228" s="74"/>
      <c r="C228" s="74"/>
      <c r="D228" s="87">
        <v>546.20000000000005</v>
      </c>
      <c r="E228" s="73">
        <f t="shared" si="19"/>
        <v>546.20000000000005</v>
      </c>
    </row>
    <row r="229" spans="1:5" s="53" customFormat="1" ht="16.5" customHeight="1" x14ac:dyDescent="0.2">
      <c r="A229" s="77"/>
      <c r="B229" s="74"/>
      <c r="C229" s="74"/>
      <c r="D229" s="87"/>
      <c r="E229" s="73"/>
    </row>
    <row r="230" spans="1:5" s="53" customFormat="1" ht="16.5" customHeight="1" x14ac:dyDescent="0.2">
      <c r="A230" s="210" t="s">
        <v>1468</v>
      </c>
      <c r="B230" s="211"/>
      <c r="C230" s="211"/>
      <c r="D230" s="211"/>
      <c r="E230" s="73">
        <f>SUM(E226:E229)</f>
        <v>1560.6000000000001</v>
      </c>
    </row>
    <row r="231" spans="1:5" s="53" customFormat="1" ht="16.5" customHeight="1" x14ac:dyDescent="0.2">
      <c r="A231" s="210" t="s">
        <v>1469</v>
      </c>
      <c r="B231" s="211"/>
      <c r="C231" s="211"/>
      <c r="D231" s="211"/>
      <c r="E231" s="73">
        <v>3121.87</v>
      </c>
    </row>
    <row r="232" spans="1:5" s="43" customFormat="1" ht="14.25" customHeight="1" x14ac:dyDescent="0.2">
      <c r="A232" s="210" t="s">
        <v>1470</v>
      </c>
      <c r="B232" s="211"/>
      <c r="C232" s="211"/>
      <c r="D232" s="211"/>
      <c r="E232" s="50">
        <v>0</v>
      </c>
    </row>
    <row r="233" spans="1:5" s="43" customFormat="1" ht="16.5" customHeight="1" x14ac:dyDescent="0.2">
      <c r="A233" s="212" t="s">
        <v>1471</v>
      </c>
      <c r="B233" s="213"/>
      <c r="C233" s="213"/>
      <c r="D233" s="213"/>
      <c r="E233" s="72">
        <f>E230-E232</f>
        <v>1560.6000000000001</v>
      </c>
    </row>
  </sheetData>
  <mergeCells count="87">
    <mergeCell ref="A233:D233"/>
    <mergeCell ref="B224:E224"/>
    <mergeCell ref="A225:B225"/>
    <mergeCell ref="A230:D230"/>
    <mergeCell ref="A231:D231"/>
    <mergeCell ref="A232:D232"/>
    <mergeCell ref="A188:D188"/>
    <mergeCell ref="A190:B190"/>
    <mergeCell ref="A164:B164"/>
    <mergeCell ref="B165:E165"/>
    <mergeCell ref="B166:E166"/>
    <mergeCell ref="A168:B168"/>
    <mergeCell ref="A174:D174"/>
    <mergeCell ref="A175:D175"/>
    <mergeCell ref="A189:D189"/>
    <mergeCell ref="A176:D176"/>
    <mergeCell ref="A177:D177"/>
    <mergeCell ref="A178:B178"/>
    <mergeCell ref="B167:E167"/>
    <mergeCell ref="B179:E179"/>
    <mergeCell ref="A180:B180"/>
    <mergeCell ref="A186:D186"/>
    <mergeCell ref="A187:D187"/>
    <mergeCell ref="A163:D163"/>
    <mergeCell ref="A135:D135"/>
    <mergeCell ref="B136:E136"/>
    <mergeCell ref="A137:B137"/>
    <mergeCell ref="A138:A143"/>
    <mergeCell ref="A144:A147"/>
    <mergeCell ref="A148:A151"/>
    <mergeCell ref="A152:A155"/>
    <mergeCell ref="A156:A159"/>
    <mergeCell ref="A160:D160"/>
    <mergeCell ref="A161:D161"/>
    <mergeCell ref="A162:D162"/>
    <mergeCell ref="A134:D134"/>
    <mergeCell ref="A76:A78"/>
    <mergeCell ref="A79:A87"/>
    <mergeCell ref="A88:A93"/>
    <mergeCell ref="A94:A102"/>
    <mergeCell ref="A103:A108"/>
    <mergeCell ref="A109:A117"/>
    <mergeCell ref="A118:A122"/>
    <mergeCell ref="A123:A130"/>
    <mergeCell ref="A131:D131"/>
    <mergeCell ref="A132:D132"/>
    <mergeCell ref="A133:D133"/>
    <mergeCell ref="A69:A75"/>
    <mergeCell ref="A26:D26"/>
    <mergeCell ref="A27:D27"/>
    <mergeCell ref="A28:D28"/>
    <mergeCell ref="A29:D29"/>
    <mergeCell ref="A30:B30"/>
    <mergeCell ref="B31:E31"/>
    <mergeCell ref="A32:B32"/>
    <mergeCell ref="A33:A44"/>
    <mergeCell ref="A46:A52"/>
    <mergeCell ref="A53:A61"/>
    <mergeCell ref="A62:A68"/>
    <mergeCell ref="A25:D25"/>
    <mergeCell ref="A10:E10"/>
    <mergeCell ref="B12:E12"/>
    <mergeCell ref="B13:E13"/>
    <mergeCell ref="B14:E14"/>
    <mergeCell ref="A15:B15"/>
    <mergeCell ref="B191:E191"/>
    <mergeCell ref="A192:B192"/>
    <mergeCell ref="A196:D196"/>
    <mergeCell ref="A197:D197"/>
    <mergeCell ref="A198:D198"/>
    <mergeCell ref="A199:D199"/>
    <mergeCell ref="A200:B200"/>
    <mergeCell ref="B201:E201"/>
    <mergeCell ref="B202:E202"/>
    <mergeCell ref="A203:B203"/>
    <mergeCell ref="A208:D208"/>
    <mergeCell ref="A209:D209"/>
    <mergeCell ref="A210:D210"/>
    <mergeCell ref="A211:D211"/>
    <mergeCell ref="A212:B212"/>
    <mergeCell ref="A222:D222"/>
    <mergeCell ref="A223:B223"/>
    <mergeCell ref="B213:E213"/>
    <mergeCell ref="A214:B214"/>
    <mergeCell ref="A219:D219"/>
    <mergeCell ref="A220:D220"/>
    <mergeCell ref="A221:D221"/>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6CC9-71BE-41C7-B24C-125D13DC29D4}">
  <sheetPr>
    <tabColor theme="4"/>
  </sheetPr>
  <dimension ref="A1:G76"/>
  <sheetViews>
    <sheetView view="pageBreakPreview" topLeftCell="A10" zoomScale="90" zoomScaleNormal="95" zoomScaleSheetLayoutView="90" workbookViewId="0">
      <selection activeCell="G21" sqref="G21"/>
    </sheetView>
  </sheetViews>
  <sheetFormatPr defaultColWidth="9" defaultRowHeight="12.75" x14ac:dyDescent="0.2"/>
  <cols>
    <col min="1" max="1" width="19.5" style="35" customWidth="1"/>
    <col min="2" max="2" width="14" style="35" customWidth="1"/>
    <col min="3" max="3" width="19" style="35"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1313</v>
      </c>
      <c r="B8" s="38"/>
      <c r="C8" s="39"/>
      <c r="D8" s="39"/>
      <c r="E8" s="40"/>
    </row>
    <row r="9" spans="1:6" ht="13.5" thickBot="1" x14ac:dyDescent="0.25">
      <c r="A9" s="37"/>
      <c r="B9" s="38"/>
      <c r="C9" s="39"/>
      <c r="D9" s="39"/>
      <c r="E9" s="40"/>
    </row>
    <row r="10" spans="1:6" s="43" customFormat="1" ht="21" customHeight="1" thickBot="1" x14ac:dyDescent="0.25">
      <c r="A10" s="248" t="s">
        <v>1314</v>
      </c>
      <c r="B10" s="249"/>
      <c r="C10" s="249"/>
      <c r="D10" s="249"/>
      <c r="E10" s="250"/>
    </row>
    <row r="11" spans="1:6" x14ac:dyDescent="0.2">
      <c r="A11" s="34"/>
      <c r="E11" s="36"/>
    </row>
    <row r="12" spans="1:6" ht="17.25" customHeight="1" x14ac:dyDescent="0.2">
      <c r="A12" s="44" t="s">
        <v>1224</v>
      </c>
      <c r="B12" s="221" t="s">
        <v>224</v>
      </c>
      <c r="C12" s="221"/>
      <c r="D12" s="221"/>
      <c r="E12" s="221"/>
    </row>
    <row r="13" spans="1:6" s="43" customFormat="1" ht="42" customHeight="1" x14ac:dyDescent="0.2">
      <c r="A13" s="45" t="s">
        <v>1010</v>
      </c>
      <c r="B13" s="214" t="s">
        <v>226</v>
      </c>
      <c r="C13" s="214"/>
      <c r="D13" s="214"/>
      <c r="E13" s="214"/>
      <c r="F13" s="71"/>
    </row>
    <row r="14" spans="1:6" s="53" customFormat="1" ht="16.5" customHeight="1" x14ac:dyDescent="0.2">
      <c r="A14" s="281" t="s">
        <v>821</v>
      </c>
      <c r="B14" s="282"/>
      <c r="C14" s="84"/>
      <c r="D14" s="84" t="s">
        <v>822</v>
      </c>
      <c r="E14" s="114" t="s">
        <v>908</v>
      </c>
    </row>
    <row r="15" spans="1:6" s="53" customFormat="1" ht="16.5" customHeight="1" x14ac:dyDescent="0.2">
      <c r="A15" s="165" t="s">
        <v>1678</v>
      </c>
      <c r="B15" s="78"/>
      <c r="C15" s="87"/>
      <c r="D15" s="87">
        <v>440</v>
      </c>
      <c r="E15" s="73">
        <f>D15</f>
        <v>440</v>
      </c>
    </row>
    <row r="16" spans="1:6" s="53" customFormat="1" ht="16.5" customHeight="1" x14ac:dyDescent="0.2">
      <c r="A16" s="173" t="s">
        <v>1679</v>
      </c>
      <c r="B16" s="78"/>
      <c r="C16" s="87"/>
      <c r="D16" s="87">
        <v>657.37</v>
      </c>
      <c r="E16" s="73">
        <f>D16</f>
        <v>657.37</v>
      </c>
    </row>
    <row r="17" spans="1:6" s="53" customFormat="1" ht="16.5" customHeight="1" x14ac:dyDescent="0.2">
      <c r="A17" s="210" t="s">
        <v>1011</v>
      </c>
      <c r="B17" s="211"/>
      <c r="C17" s="211"/>
      <c r="D17" s="211"/>
      <c r="E17" s="73">
        <f>SUM(E15:E16)</f>
        <v>1097.3699999999999</v>
      </c>
    </row>
    <row r="18" spans="1:6" s="53" customFormat="1" ht="16.5" customHeight="1" x14ac:dyDescent="0.2">
      <c r="A18" s="210" t="s">
        <v>1012</v>
      </c>
      <c r="B18" s="211"/>
      <c r="C18" s="211"/>
      <c r="D18" s="211"/>
      <c r="E18" s="73">
        <v>1502.47</v>
      </c>
    </row>
    <row r="19" spans="1:6" s="43" customFormat="1" ht="14.25" customHeight="1" x14ac:dyDescent="0.2">
      <c r="A19" s="210" t="s">
        <v>1691</v>
      </c>
      <c r="B19" s="211"/>
      <c r="C19" s="211"/>
      <c r="D19" s="211"/>
      <c r="E19" s="50">
        <v>872</v>
      </c>
    </row>
    <row r="20" spans="1:6" s="43" customFormat="1" ht="16.5" customHeight="1" x14ac:dyDescent="0.2">
      <c r="A20" s="212" t="s">
        <v>1692</v>
      </c>
      <c r="B20" s="213"/>
      <c r="C20" s="213"/>
      <c r="D20" s="213"/>
      <c r="E20" s="72">
        <f>E17-E19</f>
        <v>225.36999999999989</v>
      </c>
    </row>
    <row r="21" spans="1:6" ht="14.25" customHeight="1" x14ac:dyDescent="0.2">
      <c r="A21" s="228"/>
      <c r="B21" s="229"/>
      <c r="C21" s="82"/>
      <c r="D21" s="82"/>
      <c r="E21" s="83"/>
    </row>
    <row r="22" spans="1:6" s="43" customFormat="1" ht="42" hidden="1" customHeight="1" x14ac:dyDescent="0.2">
      <c r="A22" s="45" t="s">
        <v>1680</v>
      </c>
      <c r="B22" s="214" t="s">
        <v>230</v>
      </c>
      <c r="C22" s="214"/>
      <c r="D22" s="214"/>
      <c r="E22" s="214"/>
      <c r="F22" s="71"/>
    </row>
    <row r="23" spans="1:6" s="53" customFormat="1" ht="16.5" hidden="1" customHeight="1" x14ac:dyDescent="0.2">
      <c r="A23" s="281" t="s">
        <v>821</v>
      </c>
      <c r="B23" s="282"/>
      <c r="C23" s="84" t="s">
        <v>883</v>
      </c>
      <c r="D23" s="84" t="s">
        <v>822</v>
      </c>
      <c r="E23" s="73" t="s">
        <v>885</v>
      </c>
    </row>
    <row r="24" spans="1:6" s="53" customFormat="1" ht="16.5" hidden="1" customHeight="1" x14ac:dyDescent="0.2">
      <c r="A24" s="286" t="s">
        <v>1261</v>
      </c>
      <c r="B24" s="78" t="s">
        <v>881</v>
      </c>
      <c r="C24" s="87">
        <v>1</v>
      </c>
      <c r="D24" s="87">
        <f>3+(6.1*0.3)</f>
        <v>4.83</v>
      </c>
      <c r="E24" s="73">
        <f>C24*D24</f>
        <v>4.83</v>
      </c>
    </row>
    <row r="25" spans="1:6" s="53" customFormat="1" ht="16.5" hidden="1" customHeight="1" x14ac:dyDescent="0.2">
      <c r="A25" s="287"/>
      <c r="B25" s="78" t="s">
        <v>882</v>
      </c>
      <c r="C25" s="87">
        <v>1</v>
      </c>
      <c r="D25" s="87">
        <f>3+(6.1*0.3)</f>
        <v>4.83</v>
      </c>
      <c r="E25" s="73">
        <f t="shared" ref="E25:E28" si="0">C25*D25</f>
        <v>4.83</v>
      </c>
    </row>
    <row r="26" spans="1:6" s="53" customFormat="1" ht="16.5" hidden="1" customHeight="1" x14ac:dyDescent="0.2">
      <c r="A26" s="287"/>
      <c r="B26" s="78" t="s">
        <v>880</v>
      </c>
      <c r="C26" s="87">
        <v>1</v>
      </c>
      <c r="D26" s="87">
        <f>(13.2*0.3)+10.78</f>
        <v>14.739999999999998</v>
      </c>
      <c r="E26" s="73">
        <f t="shared" si="0"/>
        <v>14.739999999999998</v>
      </c>
    </row>
    <row r="27" spans="1:6" s="53" customFormat="1" ht="16.5" hidden="1" customHeight="1" x14ac:dyDescent="0.2">
      <c r="A27" s="287"/>
      <c r="B27" s="78" t="s">
        <v>1681</v>
      </c>
      <c r="C27" s="87">
        <v>2</v>
      </c>
      <c r="D27" s="87">
        <v>0</v>
      </c>
      <c r="E27" s="73">
        <f t="shared" si="0"/>
        <v>0</v>
      </c>
    </row>
    <row r="28" spans="1:6" s="53" customFormat="1" ht="16.5" hidden="1" customHeight="1" x14ac:dyDescent="0.2">
      <c r="A28" s="288"/>
      <c r="B28" s="78" t="s">
        <v>1682</v>
      </c>
      <c r="C28" s="87">
        <v>1</v>
      </c>
      <c r="D28" s="87">
        <v>250</v>
      </c>
      <c r="E28" s="73">
        <f t="shared" si="0"/>
        <v>250</v>
      </c>
    </row>
    <row r="29" spans="1:6" s="53" customFormat="1" ht="16.5" hidden="1" customHeight="1" x14ac:dyDescent="0.2">
      <c r="A29" s="289" t="s">
        <v>911</v>
      </c>
      <c r="B29" s="78" t="s">
        <v>881</v>
      </c>
      <c r="C29" s="87">
        <v>1</v>
      </c>
      <c r="D29" s="87">
        <f>3+(6.1*0.3)</f>
        <v>4.83</v>
      </c>
      <c r="E29" s="73">
        <f>C29*D29</f>
        <v>4.83</v>
      </c>
    </row>
    <row r="30" spans="1:6" s="53" customFormat="1" ht="16.5" hidden="1" customHeight="1" x14ac:dyDescent="0.2">
      <c r="A30" s="289"/>
      <c r="B30" s="78" t="s">
        <v>882</v>
      </c>
      <c r="C30" s="87">
        <v>1</v>
      </c>
      <c r="D30" s="87">
        <f>3+(6.1*0.3)</f>
        <v>4.83</v>
      </c>
      <c r="E30" s="73">
        <f t="shared" ref="E30:E31" si="1">C30*D30</f>
        <v>4.83</v>
      </c>
    </row>
    <row r="31" spans="1:6" s="53" customFormat="1" ht="16.5" hidden="1" customHeight="1" x14ac:dyDescent="0.2">
      <c r="A31" s="289"/>
      <c r="B31" s="78" t="s">
        <v>880</v>
      </c>
      <c r="C31" s="87">
        <v>1</v>
      </c>
      <c r="D31" s="87">
        <f>5.12+(7.4*0.3)</f>
        <v>7.34</v>
      </c>
      <c r="E31" s="73">
        <f t="shared" si="1"/>
        <v>7.34</v>
      </c>
    </row>
    <row r="32" spans="1:6" s="53" customFormat="1" ht="16.5" hidden="1" customHeight="1" x14ac:dyDescent="0.2">
      <c r="A32" s="286" t="s">
        <v>920</v>
      </c>
      <c r="B32" s="78" t="s">
        <v>881</v>
      </c>
      <c r="C32" s="87">
        <v>1</v>
      </c>
      <c r="D32" s="74">
        <f>3.15+(6.3*0.3)</f>
        <v>5.04</v>
      </c>
      <c r="E32" s="73">
        <f t="shared" ref="E32:E46" si="2">D32</f>
        <v>5.04</v>
      </c>
    </row>
    <row r="33" spans="1:5" s="53" customFormat="1" ht="16.5" hidden="1" customHeight="1" x14ac:dyDescent="0.2">
      <c r="A33" s="287"/>
      <c r="B33" s="78" t="s">
        <v>882</v>
      </c>
      <c r="C33" s="87">
        <v>1</v>
      </c>
      <c r="D33" s="74">
        <f>3.15+(6.3*0.3)</f>
        <v>5.04</v>
      </c>
      <c r="E33" s="73">
        <f t="shared" si="2"/>
        <v>5.04</v>
      </c>
    </row>
    <row r="34" spans="1:5" s="53" customFormat="1" ht="16.5" hidden="1" customHeight="1" x14ac:dyDescent="0.2">
      <c r="A34" s="287"/>
      <c r="B34" s="78" t="s">
        <v>916</v>
      </c>
      <c r="C34" s="87">
        <v>1</v>
      </c>
      <c r="D34" s="74">
        <f>3.68+(6.8*0.3)</f>
        <v>5.7200000000000006</v>
      </c>
      <c r="E34" s="73">
        <f t="shared" si="2"/>
        <v>5.7200000000000006</v>
      </c>
    </row>
    <row r="35" spans="1:5" s="53" customFormat="1" ht="16.5" hidden="1" customHeight="1" x14ac:dyDescent="0.2">
      <c r="A35" s="287"/>
      <c r="B35" s="78" t="s">
        <v>927</v>
      </c>
      <c r="C35" s="87">
        <v>1</v>
      </c>
      <c r="D35" s="74">
        <f>1.61+(5.1*0.3)</f>
        <v>3.1399999999999997</v>
      </c>
      <c r="E35" s="73">
        <f t="shared" si="2"/>
        <v>3.1399999999999997</v>
      </c>
    </row>
    <row r="36" spans="1:5" s="53" customFormat="1" ht="16.5" hidden="1" customHeight="1" x14ac:dyDescent="0.2">
      <c r="A36" s="286" t="s">
        <v>924</v>
      </c>
      <c r="B36" s="78" t="s">
        <v>881</v>
      </c>
      <c r="C36" s="87">
        <v>1</v>
      </c>
      <c r="D36" s="74">
        <f>3.15+(6.3*0.3)</f>
        <v>5.04</v>
      </c>
      <c r="E36" s="73">
        <f t="shared" si="2"/>
        <v>5.04</v>
      </c>
    </row>
    <row r="37" spans="1:5" s="53" customFormat="1" ht="16.5" hidden="1" customHeight="1" x14ac:dyDescent="0.2">
      <c r="A37" s="287"/>
      <c r="B37" s="78" t="s">
        <v>882</v>
      </c>
      <c r="C37" s="87">
        <v>1</v>
      </c>
      <c r="D37" s="74">
        <f>3.15+(6.3*0.3)</f>
        <v>5.04</v>
      </c>
      <c r="E37" s="73">
        <f t="shared" si="2"/>
        <v>5.04</v>
      </c>
    </row>
    <row r="38" spans="1:5" s="53" customFormat="1" ht="16.5" hidden="1" customHeight="1" x14ac:dyDescent="0.2">
      <c r="A38" s="287"/>
      <c r="B38" s="78" t="s">
        <v>916</v>
      </c>
      <c r="C38" s="87">
        <v>1</v>
      </c>
      <c r="D38" s="74">
        <f>3.68+(6.8*0.3)</f>
        <v>5.7200000000000006</v>
      </c>
      <c r="E38" s="73">
        <f t="shared" si="2"/>
        <v>5.7200000000000006</v>
      </c>
    </row>
    <row r="39" spans="1:5" s="53" customFormat="1" ht="16.5" hidden="1" customHeight="1" x14ac:dyDescent="0.2">
      <c r="A39" s="287"/>
      <c r="B39" s="78" t="s">
        <v>927</v>
      </c>
      <c r="C39" s="87">
        <v>1</v>
      </c>
      <c r="D39" s="74">
        <f>1.61+(5.1*0.3)</f>
        <v>3.1399999999999997</v>
      </c>
      <c r="E39" s="73">
        <f t="shared" si="2"/>
        <v>3.1399999999999997</v>
      </c>
    </row>
    <row r="40" spans="1:5" s="53" customFormat="1" ht="16.5" hidden="1" customHeight="1" x14ac:dyDescent="0.2">
      <c r="A40" s="286" t="s">
        <v>925</v>
      </c>
      <c r="B40" s="78" t="s">
        <v>881</v>
      </c>
      <c r="C40" s="87">
        <v>1</v>
      </c>
      <c r="D40" s="74">
        <f>3.15+(6.3*0.3)</f>
        <v>5.04</v>
      </c>
      <c r="E40" s="73">
        <f t="shared" si="2"/>
        <v>5.04</v>
      </c>
    </row>
    <row r="41" spans="1:5" s="53" customFormat="1" ht="16.5" hidden="1" customHeight="1" x14ac:dyDescent="0.2">
      <c r="A41" s="287"/>
      <c r="B41" s="78" t="s">
        <v>882</v>
      </c>
      <c r="C41" s="87">
        <v>1</v>
      </c>
      <c r="D41" s="74">
        <f>3.15+(6.3*0.3)</f>
        <v>5.04</v>
      </c>
      <c r="E41" s="73">
        <f t="shared" si="2"/>
        <v>5.04</v>
      </c>
    </row>
    <row r="42" spans="1:5" s="53" customFormat="1" ht="16.5" hidden="1" customHeight="1" x14ac:dyDescent="0.2">
      <c r="A42" s="287"/>
      <c r="B42" s="78" t="s">
        <v>916</v>
      </c>
      <c r="C42" s="87">
        <v>1</v>
      </c>
      <c r="D42" s="74">
        <f>3.68+(6.8*0.3)</f>
        <v>5.7200000000000006</v>
      </c>
      <c r="E42" s="73">
        <f t="shared" si="2"/>
        <v>5.7200000000000006</v>
      </c>
    </row>
    <row r="43" spans="1:5" s="53" customFormat="1" ht="16.5" hidden="1" customHeight="1" x14ac:dyDescent="0.2">
      <c r="A43" s="287"/>
      <c r="B43" s="78" t="s">
        <v>927</v>
      </c>
      <c r="C43" s="87">
        <v>1</v>
      </c>
      <c r="D43" s="74">
        <f>1.61+(5.1*0.3)</f>
        <v>3.1399999999999997</v>
      </c>
      <c r="E43" s="73">
        <f t="shared" si="2"/>
        <v>3.1399999999999997</v>
      </c>
    </row>
    <row r="44" spans="1:5" s="53" customFormat="1" ht="16.5" hidden="1" customHeight="1" x14ac:dyDescent="0.2">
      <c r="A44" s="286" t="s">
        <v>1009</v>
      </c>
      <c r="B44" s="78" t="s">
        <v>881</v>
      </c>
      <c r="C44" s="87">
        <v>1</v>
      </c>
      <c r="D44" s="74">
        <f>3.15+(6.3*0.3)</f>
        <v>5.04</v>
      </c>
      <c r="E44" s="73">
        <f t="shared" si="2"/>
        <v>5.04</v>
      </c>
    </row>
    <row r="45" spans="1:5" s="53" customFormat="1" ht="16.5" hidden="1" customHeight="1" x14ac:dyDescent="0.2">
      <c r="A45" s="287"/>
      <c r="B45" s="78" t="s">
        <v>882</v>
      </c>
      <c r="C45" s="87">
        <v>1</v>
      </c>
      <c r="D45" s="74">
        <f>3.15+(6.3*0.3)</f>
        <v>5.04</v>
      </c>
      <c r="E45" s="73">
        <f t="shared" si="2"/>
        <v>5.04</v>
      </c>
    </row>
    <row r="46" spans="1:5" s="53" customFormat="1" ht="16.5" hidden="1" customHeight="1" x14ac:dyDescent="0.2">
      <c r="A46" s="287"/>
      <c r="B46" s="78" t="s">
        <v>916</v>
      </c>
      <c r="C46" s="87">
        <v>1</v>
      </c>
      <c r="D46" s="74">
        <f>3.68+(6.8*0.3)</f>
        <v>5.7200000000000006</v>
      </c>
      <c r="E46" s="73">
        <f t="shared" si="2"/>
        <v>5.7200000000000006</v>
      </c>
    </row>
    <row r="47" spans="1:5" s="53" customFormat="1" ht="16.5" hidden="1" customHeight="1" x14ac:dyDescent="0.2">
      <c r="A47" s="210" t="s">
        <v>1683</v>
      </c>
      <c r="B47" s="211"/>
      <c r="C47" s="211"/>
      <c r="D47" s="211"/>
      <c r="E47" s="73">
        <f>SUM(E24:E46)</f>
        <v>364.02000000000015</v>
      </c>
    </row>
    <row r="48" spans="1:5" s="53" customFormat="1" ht="16.5" hidden="1" customHeight="1" x14ac:dyDescent="0.2">
      <c r="A48" s="210" t="s">
        <v>1684</v>
      </c>
      <c r="B48" s="211"/>
      <c r="C48" s="211"/>
      <c r="D48" s="211"/>
      <c r="E48" s="73">
        <v>675.21</v>
      </c>
    </row>
    <row r="49" spans="1:6" s="43" customFormat="1" ht="14.25" hidden="1" customHeight="1" x14ac:dyDescent="0.2">
      <c r="A49" s="210" t="s">
        <v>1685</v>
      </c>
      <c r="B49" s="211"/>
      <c r="C49" s="211"/>
      <c r="D49" s="211"/>
      <c r="E49" s="50">
        <v>114.02</v>
      </c>
    </row>
    <row r="50" spans="1:6" s="43" customFormat="1" ht="16.5" hidden="1" customHeight="1" x14ac:dyDescent="0.2">
      <c r="A50" s="212" t="s">
        <v>1686</v>
      </c>
      <c r="B50" s="213"/>
      <c r="C50" s="213"/>
      <c r="D50" s="213"/>
      <c r="E50" s="72">
        <f>E47-E49</f>
        <v>250.00000000000017</v>
      </c>
    </row>
    <row r="51" spans="1:6" ht="14.25" hidden="1" customHeight="1" x14ac:dyDescent="0.2">
      <c r="A51" s="228"/>
      <c r="B51" s="229"/>
      <c r="C51" s="82"/>
      <c r="D51" s="82"/>
      <c r="E51" s="83"/>
    </row>
    <row r="52" spans="1:6" s="43" customFormat="1" ht="35.25" customHeight="1" x14ac:dyDescent="0.2">
      <c r="A52" s="45" t="s">
        <v>1694</v>
      </c>
      <c r="B52" s="214" t="s">
        <v>234</v>
      </c>
      <c r="C52" s="214"/>
      <c r="D52" s="214"/>
      <c r="E52" s="214"/>
      <c r="F52" s="71"/>
    </row>
    <row r="53" spans="1:6" s="53" customFormat="1" ht="16.5" customHeight="1" x14ac:dyDescent="0.2">
      <c r="A53" s="281" t="s">
        <v>821</v>
      </c>
      <c r="B53" s="282"/>
      <c r="C53" s="84"/>
      <c r="D53" s="84" t="s">
        <v>822</v>
      </c>
      <c r="E53" s="114" t="s">
        <v>908</v>
      </c>
    </row>
    <row r="54" spans="1:6" s="53" customFormat="1" ht="16.5" customHeight="1" x14ac:dyDescent="0.2">
      <c r="A54" s="165" t="s">
        <v>1551</v>
      </c>
      <c r="B54" s="78"/>
      <c r="C54" s="87"/>
      <c r="D54" s="87">
        <v>23.55</v>
      </c>
      <c r="E54" s="73">
        <f>D54</f>
        <v>23.55</v>
      </c>
    </row>
    <row r="55" spans="1:6" s="53" customFormat="1" ht="16.5" customHeight="1" x14ac:dyDescent="0.2">
      <c r="A55" s="173"/>
      <c r="B55" s="78"/>
      <c r="C55" s="87"/>
      <c r="D55" s="87"/>
      <c r="E55" s="73"/>
    </row>
    <row r="56" spans="1:6" s="53" customFormat="1" ht="16.5" customHeight="1" x14ac:dyDescent="0.2">
      <c r="A56" s="210" t="s">
        <v>1695</v>
      </c>
      <c r="B56" s="211"/>
      <c r="C56" s="211"/>
      <c r="D56" s="211"/>
      <c r="E56" s="73">
        <f>SUM(E54:E55)</f>
        <v>23.55</v>
      </c>
    </row>
    <row r="57" spans="1:6" s="53" customFormat="1" ht="16.5" customHeight="1" x14ac:dyDescent="0.2">
      <c r="A57" s="210" t="s">
        <v>1696</v>
      </c>
      <c r="B57" s="211"/>
      <c r="C57" s="211"/>
      <c r="D57" s="211"/>
      <c r="E57" s="73">
        <v>47.1</v>
      </c>
    </row>
    <row r="58" spans="1:6" s="43" customFormat="1" ht="14.25" customHeight="1" x14ac:dyDescent="0.2">
      <c r="A58" s="210" t="s">
        <v>1697</v>
      </c>
      <c r="B58" s="211"/>
      <c r="C58" s="211"/>
      <c r="D58" s="211"/>
      <c r="E58" s="50">
        <v>0</v>
      </c>
    </row>
    <row r="59" spans="1:6" s="43" customFormat="1" ht="16.5" customHeight="1" x14ac:dyDescent="0.2">
      <c r="A59" s="212" t="s">
        <v>1698</v>
      </c>
      <c r="B59" s="213"/>
      <c r="C59" s="213"/>
      <c r="D59" s="213"/>
      <c r="E59" s="72">
        <f>E56-E58</f>
        <v>23.55</v>
      </c>
    </row>
    <row r="60" spans="1:6" ht="14.25" customHeight="1" x14ac:dyDescent="0.2">
      <c r="A60" s="228"/>
      <c r="B60" s="229"/>
      <c r="C60" s="82"/>
      <c r="D60" s="82"/>
      <c r="E60" s="83"/>
    </row>
    <row r="61" spans="1:6" s="43" customFormat="1" ht="42" customHeight="1" x14ac:dyDescent="0.2">
      <c r="A61" s="45" t="s">
        <v>1020</v>
      </c>
      <c r="B61" s="214" t="s">
        <v>236</v>
      </c>
      <c r="C61" s="214"/>
      <c r="D61" s="214"/>
      <c r="E61" s="214"/>
      <c r="F61" s="71"/>
    </row>
    <row r="62" spans="1:6" s="53" customFormat="1" ht="16.5" customHeight="1" x14ac:dyDescent="0.2">
      <c r="A62" s="281" t="s">
        <v>821</v>
      </c>
      <c r="B62" s="282"/>
      <c r="C62" s="84"/>
      <c r="D62" s="84" t="s">
        <v>822</v>
      </c>
      <c r="E62" s="73" t="s">
        <v>885</v>
      </c>
    </row>
    <row r="63" spans="1:6" s="53" customFormat="1" ht="16.5" customHeight="1" x14ac:dyDescent="0.2">
      <c r="A63" s="77" t="s">
        <v>1163</v>
      </c>
      <c r="B63" s="84"/>
      <c r="C63" s="84"/>
      <c r="D63" s="74">
        <v>238.53</v>
      </c>
      <c r="E63" s="73">
        <f>D63</f>
        <v>238.53</v>
      </c>
    </row>
    <row r="64" spans="1:6" s="53" customFormat="1" ht="16.5" customHeight="1" x14ac:dyDescent="0.2">
      <c r="A64" s="289" t="s">
        <v>1021</v>
      </c>
      <c r="B64" s="78" t="s">
        <v>1687</v>
      </c>
      <c r="C64" s="87"/>
      <c r="D64" s="87">
        <f>13.49*2</f>
        <v>26.98</v>
      </c>
      <c r="E64" s="73">
        <f>D64</f>
        <v>26.98</v>
      </c>
    </row>
    <row r="65" spans="1:7" s="53" customFormat="1" ht="16.5" customHeight="1" x14ac:dyDescent="0.2">
      <c r="A65" s="289"/>
      <c r="B65" s="78" t="s">
        <v>1688</v>
      </c>
      <c r="C65" s="87"/>
      <c r="D65" s="87">
        <f>3.64*2</f>
        <v>7.28</v>
      </c>
      <c r="E65" s="73">
        <f t="shared" ref="E65:E71" si="3">D65</f>
        <v>7.28</v>
      </c>
    </row>
    <row r="66" spans="1:7" s="53" customFormat="1" ht="16.5" customHeight="1" x14ac:dyDescent="0.2">
      <c r="A66" s="289"/>
      <c r="B66" s="78" t="s">
        <v>1689</v>
      </c>
      <c r="C66" s="87"/>
      <c r="D66" s="87">
        <f>21.06*2</f>
        <v>42.12</v>
      </c>
      <c r="E66" s="73">
        <f t="shared" si="3"/>
        <v>42.12</v>
      </c>
    </row>
    <row r="67" spans="1:7" s="53" customFormat="1" ht="16.5" customHeight="1" x14ac:dyDescent="0.2">
      <c r="A67" s="289" t="s">
        <v>1022</v>
      </c>
      <c r="B67" s="78" t="s">
        <v>1687</v>
      </c>
      <c r="C67" s="87"/>
      <c r="D67" s="87">
        <f>18.99*2</f>
        <v>37.979999999999997</v>
      </c>
      <c r="E67" s="73">
        <f t="shared" si="3"/>
        <v>37.979999999999997</v>
      </c>
    </row>
    <row r="68" spans="1:7" s="53" customFormat="1" ht="16.5" customHeight="1" x14ac:dyDescent="0.2">
      <c r="A68" s="289"/>
      <c r="B68" s="78" t="s">
        <v>1688</v>
      </c>
      <c r="C68" s="87"/>
      <c r="D68" s="87">
        <f>57.96*2</f>
        <v>115.92</v>
      </c>
      <c r="E68" s="73">
        <f t="shared" si="3"/>
        <v>115.92</v>
      </c>
    </row>
    <row r="69" spans="1:7" s="53" customFormat="1" ht="16.5" customHeight="1" x14ac:dyDescent="0.2">
      <c r="A69" s="289"/>
      <c r="B69" s="78" t="s">
        <v>1689</v>
      </c>
      <c r="C69" s="87"/>
      <c r="D69" s="87">
        <v>68</v>
      </c>
      <c r="E69" s="73">
        <f>D69</f>
        <v>68</v>
      </c>
    </row>
    <row r="70" spans="1:7" s="53" customFormat="1" ht="16.5" customHeight="1" x14ac:dyDescent="0.2">
      <c r="A70" s="77" t="s">
        <v>960</v>
      </c>
      <c r="B70" s="78" t="s">
        <v>1690</v>
      </c>
      <c r="C70" s="87"/>
      <c r="D70" s="87">
        <v>440</v>
      </c>
      <c r="E70" s="73">
        <f t="shared" si="3"/>
        <v>440</v>
      </c>
      <c r="G70" s="53">
        <v>1634.18</v>
      </c>
    </row>
    <row r="71" spans="1:7" s="53" customFormat="1" ht="16.5" customHeight="1" x14ac:dyDescent="0.2">
      <c r="A71" s="77" t="s">
        <v>960</v>
      </c>
      <c r="B71" s="78"/>
      <c r="C71" s="87"/>
      <c r="D71" s="87">
        <v>657.37</v>
      </c>
      <c r="E71" s="73">
        <f t="shared" si="3"/>
        <v>657.37</v>
      </c>
    </row>
    <row r="72" spans="1:7" s="53" customFormat="1" ht="16.5" customHeight="1" x14ac:dyDescent="0.2">
      <c r="A72" s="210" t="s">
        <v>888</v>
      </c>
      <c r="B72" s="211"/>
      <c r="C72" s="211"/>
      <c r="D72" s="211"/>
      <c r="E72" s="73">
        <f>SUM(E63:E71)</f>
        <v>1634.1799999999998</v>
      </c>
    </row>
    <row r="73" spans="1:7" s="53" customFormat="1" ht="16.5" customHeight="1" x14ac:dyDescent="0.2">
      <c r="A73" s="210" t="s">
        <v>889</v>
      </c>
      <c r="B73" s="211"/>
      <c r="C73" s="211"/>
      <c r="D73" s="211"/>
      <c r="E73" s="73">
        <v>2177.6799999999998</v>
      </c>
    </row>
    <row r="74" spans="1:7" s="43" customFormat="1" ht="14.25" customHeight="1" x14ac:dyDescent="0.2">
      <c r="A74" s="210" t="s">
        <v>1693</v>
      </c>
      <c r="B74" s="211"/>
      <c r="C74" s="211"/>
      <c r="D74" s="211"/>
      <c r="E74" s="50">
        <v>872</v>
      </c>
    </row>
    <row r="75" spans="1:7" s="43" customFormat="1" ht="16.5" customHeight="1" x14ac:dyDescent="0.2">
      <c r="A75" s="212" t="s">
        <v>1494</v>
      </c>
      <c r="B75" s="213"/>
      <c r="C75" s="213"/>
      <c r="D75" s="213"/>
      <c r="E75" s="72">
        <f>E72-E74</f>
        <v>762.17999999999984</v>
      </c>
    </row>
    <row r="76" spans="1:7" ht="14.25" customHeight="1" x14ac:dyDescent="0.2">
      <c r="A76" s="228"/>
      <c r="B76" s="229"/>
      <c r="C76" s="82"/>
      <c r="D76" s="82"/>
      <c r="E76" s="83"/>
    </row>
  </sheetData>
  <mergeCells count="38">
    <mergeCell ref="A76:B76"/>
    <mergeCell ref="B52:E52"/>
    <mergeCell ref="A53:B53"/>
    <mergeCell ref="A56:D56"/>
    <mergeCell ref="A57:D57"/>
    <mergeCell ref="A58:D58"/>
    <mergeCell ref="A59:D59"/>
    <mergeCell ref="A60:B60"/>
    <mergeCell ref="A64:A66"/>
    <mergeCell ref="A67:A69"/>
    <mergeCell ref="A72:D72"/>
    <mergeCell ref="A73:D73"/>
    <mergeCell ref="A74:D74"/>
    <mergeCell ref="A75:D75"/>
    <mergeCell ref="A62:B62"/>
    <mergeCell ref="A48:D48"/>
    <mergeCell ref="A49:D49"/>
    <mergeCell ref="A50:D50"/>
    <mergeCell ref="A51:B51"/>
    <mergeCell ref="B61:E61"/>
    <mergeCell ref="A47:D47"/>
    <mergeCell ref="A19:D19"/>
    <mergeCell ref="A20:D20"/>
    <mergeCell ref="A21:B21"/>
    <mergeCell ref="B22:E22"/>
    <mergeCell ref="A23:B23"/>
    <mergeCell ref="A24:A28"/>
    <mergeCell ref="A29:A31"/>
    <mergeCell ref="A32:A35"/>
    <mergeCell ref="A36:A39"/>
    <mergeCell ref="A40:A43"/>
    <mergeCell ref="A44:A46"/>
    <mergeCell ref="A18:D18"/>
    <mergeCell ref="A10:E10"/>
    <mergeCell ref="B12:E12"/>
    <mergeCell ref="B13:E13"/>
    <mergeCell ref="A14:B14"/>
    <mergeCell ref="A17:D17"/>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17</vt:i4>
      </vt:variant>
      <vt:variant>
        <vt:lpstr>Intervalos Nomeados</vt:lpstr>
      </vt:variant>
      <vt:variant>
        <vt:i4>14</vt:i4>
      </vt:variant>
    </vt:vector>
  </HeadingPairs>
  <TitlesOfParts>
    <vt:vector size="31" baseType="lpstr">
      <vt:lpstr>Planilha</vt:lpstr>
      <vt:lpstr>RESUMO MEM.</vt:lpstr>
      <vt:lpstr>4.0</vt:lpstr>
      <vt:lpstr>6.0</vt:lpstr>
      <vt:lpstr>7.0</vt:lpstr>
      <vt:lpstr>8.0</vt:lpstr>
      <vt:lpstr>9.0</vt:lpstr>
      <vt:lpstr>10.0</vt:lpstr>
      <vt:lpstr>11.0</vt:lpstr>
      <vt:lpstr>12.0</vt:lpstr>
      <vt:lpstr>13.0</vt:lpstr>
      <vt:lpstr>15.0</vt:lpstr>
      <vt:lpstr>16.0</vt:lpstr>
      <vt:lpstr>17.0</vt:lpstr>
      <vt:lpstr>18.0</vt:lpstr>
      <vt:lpstr>20.0</vt:lpstr>
      <vt:lpstr>23.0</vt:lpstr>
      <vt:lpstr>'10.0'!Area_de_impressao</vt:lpstr>
      <vt:lpstr>'11.0'!Area_de_impressao</vt:lpstr>
      <vt:lpstr>'12.0'!Area_de_impressao</vt:lpstr>
      <vt:lpstr>'17.0'!Area_de_impressao</vt:lpstr>
      <vt:lpstr>'18.0'!Area_de_impressao</vt:lpstr>
      <vt:lpstr>'20.0'!Area_de_impressao</vt:lpstr>
      <vt:lpstr>'4.0'!Area_de_impressao</vt:lpstr>
      <vt:lpstr>'6.0'!Area_de_impressao</vt:lpstr>
      <vt:lpstr>'7.0'!Area_de_impressao</vt:lpstr>
      <vt:lpstr>'8.0'!Area_de_impressao</vt:lpstr>
      <vt:lpstr>'9.0'!Area_de_impressao</vt:lpstr>
      <vt:lpstr>Planilha!Area_de_impressao</vt:lpstr>
      <vt:lpstr>'RESUMO MEM.'!Area_de_impressao</vt:lpstr>
      <vt:lpstr>Planilha!Titulos_de_impressao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FLY-PC</dc:creator>
  <cp:lastModifiedBy>FLY-PC</cp:lastModifiedBy>
  <cp:lastPrinted>2025-08-01T16:48:06Z</cp:lastPrinted>
  <dcterms:created xsi:type="dcterms:W3CDTF">2024-04-01T18:39:26Z</dcterms:created>
  <dcterms:modified xsi:type="dcterms:W3CDTF">2025-09-03T19:55:44Z</dcterms:modified>
</cp:coreProperties>
</file>