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23\"/>
    </mc:Choice>
  </mc:AlternateContent>
  <xr:revisionPtr revIDLastSave="0" documentId="13_ncr:1_{A86886A5-7118-4877-9979-3F5ED03C3024}" xr6:coauthVersionLast="47" xr6:coauthVersionMax="47" xr10:uidLastSave="{00000000-0000-0000-0000-000000000000}"/>
  <bookViews>
    <workbookView xWindow="-120" yWindow="-120" windowWidth="20730" windowHeight="11040" firstSheet="2" activeTab="14" xr2:uid="{09CB3EF6-4D0F-4C31-A21B-A70EC7293F6F}"/>
  </bookViews>
  <sheets>
    <sheet name="Planilha" sheetId="1" r:id="rId1"/>
    <sheet name="RESUMO MEM." sheetId="19" r:id="rId2"/>
    <sheet name="6.0" sheetId="66" r:id="rId3"/>
    <sheet name="7.0" sheetId="81" r:id="rId4"/>
    <sheet name="8.0" sheetId="67" r:id="rId5"/>
    <sheet name="9.0" sheetId="68" r:id="rId6"/>
    <sheet name="10.0" sheetId="80" r:id="rId7"/>
    <sheet name="11.0" sheetId="69" r:id="rId8"/>
    <sheet name="12.0" sheetId="74" r:id="rId9"/>
    <sheet name="14.0" sheetId="75" r:id="rId10"/>
    <sheet name="15.0" sheetId="76" r:id="rId11"/>
    <sheet name="17.0" sheetId="71" r:id="rId12"/>
    <sheet name="18.0" sheetId="72" r:id="rId13"/>
    <sheet name="23.0" sheetId="77" r:id="rId14"/>
    <sheet name="24.0" sheetId="73" r:id="rId15"/>
  </sheets>
  <externalReferences>
    <externalReference r:id="rId16"/>
    <externalReference r:id="rId17"/>
  </externalReferences>
  <definedNames>
    <definedName name="_xlnm.Print_Area" localSheetId="6">'10.0'!$A$1:$E$84</definedName>
    <definedName name="_xlnm.Print_Area" localSheetId="7">'11.0'!$A$1:$D$89</definedName>
    <definedName name="_xlnm.Print_Area" localSheetId="8">'12.0'!$A$1:$E$194</definedName>
    <definedName name="_xlnm.Print_Area" localSheetId="9">'14.0'!$A$1:$D$130</definedName>
    <definedName name="_xlnm.Print_Area" localSheetId="11">'17.0'!$A$1:$E$96</definedName>
    <definedName name="_xlnm.Print_Area" localSheetId="12">'18.0'!$A$2:$D$202</definedName>
    <definedName name="_xlnm.Print_Area" localSheetId="14">'24.0'!$A$2:$E$87</definedName>
    <definedName name="_xlnm.Print_Area" localSheetId="2">'6.0'!$A$1:$F$66</definedName>
    <definedName name="_xlnm.Print_Area" localSheetId="3">'7.0'!$A$1:$E$118</definedName>
    <definedName name="_xlnm.Print_Area" localSheetId="4">'8.0'!$A$3:$E$28</definedName>
    <definedName name="_xlnm.Print_Area" localSheetId="5">'9.0'!$A$1:$E$70</definedName>
    <definedName name="_xlnm.Print_Area" localSheetId="0">Planilha!$A$1:$M$488</definedName>
    <definedName name="_xlnm.Print_Area" localSheetId="1">'RESUMO MEM.'!$A$1:$E$758</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74" l="1"/>
  <c r="D127" i="74"/>
  <c r="D163" i="74"/>
  <c r="D151" i="74"/>
  <c r="D139" i="74"/>
  <c r="E114" i="81" l="1"/>
  <c r="E117" i="81" s="1"/>
  <c r="E106" i="81"/>
  <c r="E109" i="81" s="1"/>
  <c r="E100" i="81"/>
  <c r="E96" i="81"/>
  <c r="E94" i="81"/>
  <c r="E93" i="81"/>
  <c r="E90" i="81"/>
  <c r="E85" i="81"/>
  <c r="E79" i="81"/>
  <c r="E71" i="81"/>
  <c r="E67" i="81"/>
  <c r="E62" i="81"/>
  <c r="E58" i="81"/>
  <c r="E59" i="81" s="1"/>
  <c r="E50" i="81"/>
  <c r="E46" i="81"/>
  <c r="E45" i="81"/>
  <c r="E44" i="81"/>
  <c r="E43" i="81"/>
  <c r="E42" i="81"/>
  <c r="E41" i="81"/>
  <c r="E40" i="81"/>
  <c r="E39" i="81"/>
  <c r="E37" i="81"/>
  <c r="E35" i="81"/>
  <c r="E27" i="81"/>
  <c r="E18" i="81"/>
  <c r="E50" i="73"/>
  <c r="E51" i="73"/>
  <c r="E49" i="73"/>
  <c r="E52" i="73" s="1"/>
  <c r="E55" i="73" s="1"/>
  <c r="E47" i="81" l="1"/>
  <c r="E51" i="81" s="1"/>
  <c r="E82" i="81"/>
  <c r="E86" i="81" s="1"/>
  <c r="E97" i="81"/>
  <c r="E101" i="81" s="1"/>
  <c r="E77" i="80"/>
  <c r="E66" i="80"/>
  <c r="E65" i="80"/>
  <c r="E64" i="80"/>
  <c r="E63" i="80"/>
  <c r="E53" i="80"/>
  <c r="E54" i="80"/>
  <c r="E78" i="80" l="1"/>
  <c r="E76" i="80"/>
  <c r="E75" i="80"/>
  <c r="E68" i="80"/>
  <c r="E71" i="80" s="1"/>
  <c r="E52" i="80"/>
  <c r="E51" i="80"/>
  <c r="E42" i="80"/>
  <c r="E41" i="80"/>
  <c r="E40" i="80"/>
  <c r="E32" i="80"/>
  <c r="E31" i="80"/>
  <c r="E30" i="80"/>
  <c r="E29" i="80"/>
  <c r="D28" i="80"/>
  <c r="E28" i="80" s="1"/>
  <c r="E20" i="80"/>
  <c r="E19" i="80"/>
  <c r="E18" i="80"/>
  <c r="E17" i="80"/>
  <c r="D16" i="80"/>
  <c r="E16" i="80" s="1"/>
  <c r="D35" i="72"/>
  <c r="D34" i="72"/>
  <c r="D33" i="72"/>
  <c r="D32" i="72"/>
  <c r="D31" i="72"/>
  <c r="D30" i="72"/>
  <c r="D29" i="72"/>
  <c r="D28" i="72"/>
  <c r="E56" i="80" l="1"/>
  <c r="E59" i="80" s="1"/>
  <c r="E21" i="80"/>
  <c r="E24" i="80" s="1"/>
  <c r="E43" i="80"/>
  <c r="E46" i="80" s="1"/>
  <c r="E33" i="80"/>
  <c r="E36" i="80" s="1"/>
  <c r="E80" i="80"/>
  <c r="E83" i="80" s="1"/>
  <c r="D36" i="72"/>
  <c r="D39" i="72" s="1"/>
  <c r="D14" i="72" l="1"/>
  <c r="D15" i="72"/>
  <c r="D16" i="72"/>
  <c r="D17" i="72"/>
  <c r="D18" i="72"/>
  <c r="D19" i="72"/>
  <c r="D20" i="72"/>
  <c r="D13" i="72"/>
  <c r="D21" i="72" l="1"/>
  <c r="D24" i="72" s="1"/>
  <c r="E27" i="73" l="1"/>
  <c r="E23" i="73"/>
  <c r="D22" i="73"/>
  <c r="E22" i="73" s="1"/>
  <c r="E24" i="73" s="1"/>
  <c r="E14" i="73"/>
  <c r="E15" i="73" s="1"/>
  <c r="E30" i="77"/>
  <c r="E27" i="77"/>
  <c r="E22" i="77"/>
  <c r="E19" i="77"/>
  <c r="E82" i="73"/>
  <c r="E85" i="73" s="1"/>
  <c r="E40" i="73"/>
  <c r="E41" i="73" s="1"/>
  <c r="C32" i="73"/>
  <c r="E32" i="73" s="1"/>
  <c r="E33" i="73" s="1"/>
  <c r="E62" i="73"/>
  <c r="C61" i="73"/>
  <c r="E61" i="73" s="1"/>
  <c r="E60" i="73"/>
  <c r="E59" i="73"/>
  <c r="D196" i="72"/>
  <c r="D198" i="72" s="1"/>
  <c r="D188" i="72"/>
  <c r="D190" i="72" s="1"/>
  <c r="D193" i="72" s="1"/>
  <c r="D180" i="72"/>
  <c r="D182" i="72" s="1"/>
  <c r="D185" i="72" s="1"/>
  <c r="D77" i="72"/>
  <c r="D173" i="72"/>
  <c r="D165" i="72"/>
  <c r="D157" i="72"/>
  <c r="D149" i="72"/>
  <c r="D141" i="72"/>
  <c r="D133" i="72"/>
  <c r="D136" i="72" s="1"/>
  <c r="D125" i="72"/>
  <c r="D117" i="72"/>
  <c r="D109" i="72"/>
  <c r="D101" i="72"/>
  <c r="D93" i="72"/>
  <c r="D96" i="72" s="1"/>
  <c r="D85" i="72"/>
  <c r="D88" i="72" s="1"/>
  <c r="D69" i="72"/>
  <c r="D61" i="72"/>
  <c r="D53" i="72"/>
  <c r="D45" i="72"/>
  <c r="D48" i="72" s="1"/>
  <c r="E92" i="71"/>
  <c r="E95" i="71" s="1"/>
  <c r="E84" i="71"/>
  <c r="E76" i="71"/>
  <c r="E30" i="71"/>
  <c r="E33" i="71" s="1"/>
  <c r="E21" i="71"/>
  <c r="E24" i="71" s="1"/>
  <c r="E13" i="71"/>
  <c r="E28" i="73" l="1"/>
  <c r="E17" i="73"/>
  <c r="E18" i="73"/>
  <c r="E73" i="73"/>
  <c r="E43" i="73"/>
  <c r="E35" i="73"/>
  <c r="E63" i="73"/>
  <c r="E66" i="73" l="1"/>
  <c r="E76" i="73"/>
  <c r="E20" i="76"/>
  <c r="D125" i="75" l="1"/>
  <c r="D126" i="75" s="1"/>
  <c r="D117" i="75"/>
  <c r="D118" i="75" s="1"/>
  <c r="D109" i="75"/>
  <c r="D110" i="75" s="1"/>
  <c r="D101" i="75"/>
  <c r="D102" i="75" s="1"/>
  <c r="D104" i="75" s="1"/>
  <c r="D105" i="75" s="1"/>
  <c r="C93" i="75"/>
  <c r="D93" i="75" s="1"/>
  <c r="D94" i="75" s="1"/>
  <c r="C85" i="75"/>
  <c r="D85" i="75" s="1"/>
  <c r="C84" i="75"/>
  <c r="D84" i="75" s="1"/>
  <c r="C83" i="75"/>
  <c r="D83" i="75" s="1"/>
  <c r="C82" i="75"/>
  <c r="D82" i="75" s="1"/>
  <c r="C74" i="75"/>
  <c r="D74" i="75" s="1"/>
  <c r="D73" i="75"/>
  <c r="D72" i="75"/>
  <c r="D71" i="75"/>
  <c r="D70" i="75"/>
  <c r="D69" i="75"/>
  <c r="D68" i="75"/>
  <c r="D60" i="75"/>
  <c r="C59" i="75"/>
  <c r="D59" i="75" s="1"/>
  <c r="C58" i="75"/>
  <c r="D58" i="75" s="1"/>
  <c r="C57" i="75"/>
  <c r="D57" i="75" s="1"/>
  <c r="C56" i="75"/>
  <c r="D56" i="75" s="1"/>
  <c r="C55" i="75"/>
  <c r="D55" i="75" s="1"/>
  <c r="C54" i="75"/>
  <c r="D54" i="75" s="1"/>
  <c r="C53" i="75"/>
  <c r="D53" i="75" s="1"/>
  <c r="C52" i="75"/>
  <c r="D52" i="75" s="1"/>
  <c r="C51" i="75"/>
  <c r="D51" i="75" s="1"/>
  <c r="C43" i="75"/>
  <c r="D43" i="75" s="1"/>
  <c r="C42" i="75"/>
  <c r="D42" i="75" s="1"/>
  <c r="C41" i="75"/>
  <c r="D41" i="75" s="1"/>
  <c r="C33" i="75"/>
  <c r="D33" i="75" s="1"/>
  <c r="C32" i="75"/>
  <c r="D32" i="75" s="1"/>
  <c r="C31" i="75"/>
  <c r="D31" i="75" s="1"/>
  <c r="C23" i="75"/>
  <c r="D23" i="75" s="1"/>
  <c r="C22" i="75"/>
  <c r="D22" i="75" s="1"/>
  <c r="C21" i="75"/>
  <c r="D21" i="75" s="1"/>
  <c r="D15" i="75"/>
  <c r="D13" i="75"/>
  <c r="D12" i="75"/>
  <c r="E49" i="74"/>
  <c r="E48" i="74"/>
  <c r="E47" i="74"/>
  <c r="C46" i="74"/>
  <c r="E46" i="74" s="1"/>
  <c r="E44" i="74"/>
  <c r="E43" i="74"/>
  <c r="E42" i="74"/>
  <c r="E41" i="74"/>
  <c r="E40" i="74"/>
  <c r="E39" i="74"/>
  <c r="D37" i="74"/>
  <c r="E37" i="74" s="1"/>
  <c r="E36" i="74"/>
  <c r="E35" i="74"/>
  <c r="E34" i="74"/>
  <c r="E33" i="74"/>
  <c r="E188" i="74"/>
  <c r="E190" i="74" s="1"/>
  <c r="E193" i="74" s="1"/>
  <c r="E180" i="74"/>
  <c r="E179" i="74"/>
  <c r="E178" i="74"/>
  <c r="E177" i="74"/>
  <c r="E176" i="74"/>
  <c r="E175" i="74"/>
  <c r="D167" i="74"/>
  <c r="E167" i="74" s="1"/>
  <c r="E166" i="74"/>
  <c r="E165" i="74"/>
  <c r="E164" i="74"/>
  <c r="E163" i="74"/>
  <c r="E162" i="74"/>
  <c r="E161" i="74"/>
  <c r="E160" i="74"/>
  <c r="E159" i="74"/>
  <c r="E158" i="74"/>
  <c r="D157" i="74"/>
  <c r="E157" i="74" s="1"/>
  <c r="D156" i="74"/>
  <c r="E156" i="74" s="1"/>
  <c r="E155" i="74"/>
  <c r="E154" i="74"/>
  <c r="E153" i="74"/>
  <c r="E152" i="74"/>
  <c r="E151" i="74"/>
  <c r="E150" i="74"/>
  <c r="E149" i="74"/>
  <c r="E148" i="74"/>
  <c r="E147" i="74"/>
  <c r="E146" i="74"/>
  <c r="D145" i="74"/>
  <c r="E145" i="74" s="1"/>
  <c r="D144" i="74"/>
  <c r="E144" i="74" s="1"/>
  <c r="E143" i="74"/>
  <c r="E142" i="74"/>
  <c r="E141" i="74"/>
  <c r="E140" i="74"/>
  <c r="E139" i="74"/>
  <c r="E138" i="74"/>
  <c r="E137" i="74"/>
  <c r="E136" i="74"/>
  <c r="E135" i="74"/>
  <c r="E134" i="74"/>
  <c r="D133" i="74"/>
  <c r="E133" i="74" s="1"/>
  <c r="E132" i="74"/>
  <c r="E131" i="74"/>
  <c r="E130" i="74"/>
  <c r="E129" i="74"/>
  <c r="E128" i="74"/>
  <c r="E127" i="74"/>
  <c r="E126" i="74"/>
  <c r="E125" i="74"/>
  <c r="E124" i="74"/>
  <c r="E123" i="74"/>
  <c r="E122" i="74"/>
  <c r="D121" i="74"/>
  <c r="E121" i="74" s="1"/>
  <c r="E120" i="74"/>
  <c r="E119" i="74"/>
  <c r="E118" i="74"/>
  <c r="E117" i="74"/>
  <c r="E116" i="74"/>
  <c r="E115" i="74"/>
  <c r="E114" i="74"/>
  <c r="E113" i="74"/>
  <c r="E112" i="74"/>
  <c r="E111" i="74"/>
  <c r="E110" i="74"/>
  <c r="E109" i="74"/>
  <c r="E108" i="74"/>
  <c r="E107" i="74"/>
  <c r="D106" i="74"/>
  <c r="E106" i="74" s="1"/>
  <c r="E105" i="74"/>
  <c r="D104" i="74"/>
  <c r="E104" i="74" s="1"/>
  <c r="E103" i="74"/>
  <c r="E102" i="74"/>
  <c r="D101" i="74"/>
  <c r="E101" i="74" s="1"/>
  <c r="D100" i="74"/>
  <c r="E100" i="74" s="1"/>
  <c r="E99" i="74"/>
  <c r="E98" i="74"/>
  <c r="E97" i="74"/>
  <c r="E96" i="74"/>
  <c r="E95" i="74"/>
  <c r="E94" i="74"/>
  <c r="E93" i="74"/>
  <c r="E92" i="74"/>
  <c r="E91" i="74"/>
  <c r="E90" i="74"/>
  <c r="E89" i="74"/>
  <c r="E88" i="74"/>
  <c r="E87" i="74"/>
  <c r="E86" i="74"/>
  <c r="E85" i="74"/>
  <c r="E84" i="74"/>
  <c r="E83" i="74"/>
  <c r="E82" i="74"/>
  <c r="E81" i="74"/>
  <c r="E80" i="74"/>
  <c r="E79" i="74"/>
  <c r="E78" i="74"/>
  <c r="E77" i="74"/>
  <c r="E76" i="74"/>
  <c r="E75" i="74"/>
  <c r="E74" i="74"/>
  <c r="E73" i="74"/>
  <c r="E72" i="74"/>
  <c r="E71" i="74"/>
  <c r="E70" i="74"/>
  <c r="E69" i="74"/>
  <c r="D68" i="74"/>
  <c r="E68" i="74" s="1"/>
  <c r="D67" i="74"/>
  <c r="E67" i="74" s="1"/>
  <c r="E66" i="74"/>
  <c r="E65" i="74"/>
  <c r="E64" i="74"/>
  <c r="E63" i="74"/>
  <c r="E62" i="74"/>
  <c r="E61" i="74"/>
  <c r="E60" i="74"/>
  <c r="E59" i="74"/>
  <c r="E58" i="74"/>
  <c r="E24" i="74"/>
  <c r="E25" i="74" s="1"/>
  <c r="E28" i="74" s="1"/>
  <c r="E17" i="74"/>
  <c r="E20" i="74" s="1"/>
  <c r="D87" i="69"/>
  <c r="D76" i="69"/>
  <c r="D128" i="75" l="1"/>
  <c r="D129" i="75" s="1"/>
  <c r="D112" i="75"/>
  <c r="D113" i="75" s="1"/>
  <c r="D120" i="75"/>
  <c r="D121" i="75" s="1"/>
  <c r="D96" i="75"/>
  <c r="D97" i="75" s="1"/>
  <c r="D14" i="75"/>
  <c r="D24" i="75"/>
  <c r="D27" i="75" s="1"/>
  <c r="D34" i="75"/>
  <c r="D37" i="75" s="1"/>
  <c r="D61" i="75"/>
  <c r="D86" i="75"/>
  <c r="D89" i="75" s="1"/>
  <c r="D75" i="75"/>
  <c r="D78" i="75" s="1"/>
  <c r="D44" i="75"/>
  <c r="E51" i="74"/>
  <c r="E181" i="74"/>
  <c r="E168" i="74"/>
  <c r="E171" i="74" s="1"/>
  <c r="D79" i="69"/>
  <c r="D16" i="75" l="1"/>
  <c r="D17" i="75" s="1"/>
  <c r="D63" i="75"/>
  <c r="D64" i="75" s="1"/>
  <c r="D46" i="75"/>
  <c r="D47" i="75" s="1"/>
  <c r="E184" i="74"/>
  <c r="E54" i="74"/>
  <c r="D65" i="69" l="1"/>
  <c r="D64" i="69"/>
  <c r="D43" i="69"/>
  <c r="D63" i="69" l="1"/>
  <c r="D62" i="69"/>
  <c r="D61" i="69"/>
  <c r="D60" i="69"/>
  <c r="D59" i="69"/>
  <c r="D58" i="69"/>
  <c r="D57" i="69"/>
  <c r="D56" i="69"/>
  <c r="D55" i="69"/>
  <c r="D54" i="69"/>
  <c r="D53" i="69"/>
  <c r="D52" i="69"/>
  <c r="D51" i="69"/>
  <c r="D50" i="69"/>
  <c r="D49" i="69"/>
  <c r="D48" i="69"/>
  <c r="D47" i="69"/>
  <c r="D46" i="69"/>
  <c r="D42" i="69"/>
  <c r="D41" i="69"/>
  <c r="D40" i="69"/>
  <c r="D67" i="69" l="1"/>
  <c r="D70" i="69" s="1"/>
  <c r="D31" i="69"/>
  <c r="D30" i="69"/>
  <c r="D29" i="69"/>
  <c r="D28" i="69"/>
  <c r="D27" i="69"/>
  <c r="D26" i="69"/>
  <c r="D25" i="69"/>
  <c r="C16" i="69"/>
  <c r="D16" i="69" s="1"/>
  <c r="C15" i="69"/>
  <c r="D15" i="69" s="1"/>
  <c r="C14" i="69"/>
  <c r="D14" i="69" s="1"/>
  <c r="C13" i="69"/>
  <c r="D13" i="69" s="1"/>
  <c r="C12" i="69"/>
  <c r="D12" i="69" s="1"/>
  <c r="D33" i="69" l="1"/>
  <c r="D36" i="69" s="1"/>
  <c r="D18" i="69"/>
  <c r="D82" i="69" s="1"/>
  <c r="D84" i="69" s="1"/>
  <c r="D88" i="69" s="1"/>
  <c r="E68" i="68"/>
  <c r="F40" i="66"/>
  <c r="C39" i="66"/>
  <c r="F39" i="66" s="1"/>
  <c r="C38" i="66"/>
  <c r="C37" i="66"/>
  <c r="F37" i="66" s="1"/>
  <c r="C36" i="66"/>
  <c r="F36" i="66" s="1"/>
  <c r="C35" i="66"/>
  <c r="F35" i="66" s="1"/>
  <c r="C34" i="66"/>
  <c r="F34" i="66" s="1"/>
  <c r="F38" i="66"/>
  <c r="F57" i="66"/>
  <c r="F58" i="66"/>
  <c r="F59" i="66"/>
  <c r="F56" i="66"/>
  <c r="E55" i="66"/>
  <c r="F55" i="66" s="1"/>
  <c r="E54" i="66"/>
  <c r="F54" i="66" s="1"/>
  <c r="E53" i="66"/>
  <c r="F53" i="66" s="1"/>
  <c r="F60" i="66"/>
  <c r="E52" i="66"/>
  <c r="F52" i="66" s="1"/>
  <c r="F50" i="66"/>
  <c r="F51" i="66"/>
  <c r="C49" i="66"/>
  <c r="F49" i="66" s="1"/>
  <c r="F62" i="66" l="1"/>
  <c r="F42" i="66"/>
  <c r="D21" i="69"/>
  <c r="F45" i="66"/>
  <c r="F65" i="66" l="1"/>
  <c r="F29" i="66" l="1"/>
  <c r="C13" i="66"/>
  <c r="F13" i="66" s="1"/>
  <c r="F12" i="66"/>
  <c r="C11" i="66"/>
  <c r="F25" i="66"/>
  <c r="C24" i="66"/>
  <c r="F24" i="66" s="1"/>
  <c r="C23" i="66"/>
  <c r="F23" i="66" s="1"/>
  <c r="F22" i="66"/>
  <c r="C21" i="66"/>
  <c r="F21" i="66" s="1"/>
  <c r="C20" i="66"/>
  <c r="F19" i="66"/>
  <c r="C18" i="66"/>
  <c r="F18" i="66" s="1"/>
  <c r="C17" i="66"/>
  <c r="F16" i="66"/>
  <c r="C15" i="66"/>
  <c r="F15" i="66" s="1"/>
  <c r="C14" i="66"/>
  <c r="F11" i="66" l="1"/>
  <c r="F17" i="66"/>
  <c r="F20" i="66"/>
  <c r="F14" i="66"/>
  <c r="E79" i="71"/>
  <c r="D67" i="71"/>
  <c r="E67" i="71" s="1"/>
  <c r="E66" i="71"/>
  <c r="E65" i="71"/>
  <c r="E64" i="71"/>
  <c r="D62" i="71"/>
  <c r="E62" i="71" s="1"/>
  <c r="E61" i="71"/>
  <c r="E60" i="71"/>
  <c r="E59" i="71"/>
  <c r="D57" i="71"/>
  <c r="E57" i="71" s="1"/>
  <c r="E56" i="71"/>
  <c r="E55" i="71"/>
  <c r="E54" i="71"/>
  <c r="D52" i="71"/>
  <c r="E52" i="71" s="1"/>
  <c r="E51" i="71"/>
  <c r="E50" i="71"/>
  <c r="E49" i="71"/>
  <c r="E47" i="71"/>
  <c r="E46" i="71"/>
  <c r="E45" i="71"/>
  <c r="E44" i="71"/>
  <c r="E43" i="71"/>
  <c r="E40" i="71"/>
  <c r="D39" i="71"/>
  <c r="E39" i="71" s="1"/>
  <c r="D38" i="71"/>
  <c r="E38" i="71" s="1"/>
  <c r="D37" i="71"/>
  <c r="E37" i="71" s="1"/>
  <c r="D46" i="68"/>
  <c r="E46" i="68" s="1"/>
  <c r="D45" i="68"/>
  <c r="E45" i="68" s="1"/>
  <c r="D44" i="68"/>
  <c r="E44" i="68" s="1"/>
  <c r="D43" i="68"/>
  <c r="E43" i="68" s="1"/>
  <c r="D42" i="68"/>
  <c r="E42" i="68" s="1"/>
  <c r="D41" i="68"/>
  <c r="E41" i="68" s="1"/>
  <c r="D40" i="68"/>
  <c r="E40" i="68" s="1"/>
  <c r="D39" i="68"/>
  <c r="E39" i="68" s="1"/>
  <c r="D38" i="68"/>
  <c r="E38" i="68" s="1"/>
  <c r="D37" i="68"/>
  <c r="E37" i="68" s="1"/>
  <c r="D36" i="68"/>
  <c r="E36" i="68" s="1"/>
  <c r="D35" i="68"/>
  <c r="E35" i="68" s="1"/>
  <c r="D34" i="68"/>
  <c r="E34" i="68" s="1"/>
  <c r="D33" i="68"/>
  <c r="E33" i="68" s="1"/>
  <c r="D32" i="68"/>
  <c r="E32" i="68" s="1"/>
  <c r="D31" i="68"/>
  <c r="E31" i="68" s="1"/>
  <c r="D30" i="68"/>
  <c r="E30" i="68" s="1"/>
  <c r="C21" i="68"/>
  <c r="E21" i="68" s="1"/>
  <c r="E22" i="68" s="1"/>
  <c r="E24" i="67"/>
  <c r="E27" i="67" s="1"/>
  <c r="E15" i="67"/>
  <c r="E18" i="67" s="1"/>
  <c r="E25" i="68" l="1"/>
  <c r="F26" i="66"/>
  <c r="D64" i="68" s="1"/>
  <c r="E68" i="71"/>
  <c r="E14" i="68"/>
  <c r="E48" i="68"/>
  <c r="E87" i="71" l="1"/>
  <c r="E71" i="71"/>
  <c r="E16" i="71"/>
  <c r="E51" i="68"/>
  <c r="F30" i="66"/>
  <c r="E17" i="68"/>
  <c r="D55" i="68"/>
  <c r="E55" i="68" s="1"/>
  <c r="E56" i="68" s="1"/>
  <c r="E731" i="19"/>
  <c r="E725" i="19"/>
  <c r="E59" i="68" l="1"/>
  <c r="E64" i="68"/>
  <c r="E65" i="68" s="1"/>
  <c r="E700" i="19"/>
  <c r="E703" i="19" s="1"/>
  <c r="E69" i="68" l="1"/>
  <c r="E717" i="19"/>
  <c r="E706" i="19"/>
  <c r="E710" i="19" s="1"/>
  <c r="E604" i="19" l="1"/>
  <c r="E666" i="19" l="1"/>
  <c r="E598" i="19"/>
  <c r="E669" i="19" l="1"/>
  <c r="E676" i="19" l="1"/>
  <c r="E647" i="19"/>
  <c r="E737" i="19" l="1"/>
  <c r="E757" i="19"/>
  <c r="E750" i="19"/>
  <c r="E744" i="19"/>
  <c r="E736" i="19"/>
  <c r="E739" i="19" s="1"/>
  <c r="E755" i="19" l="1"/>
  <c r="E743" i="19"/>
  <c r="E746" i="19" s="1"/>
  <c r="E749" i="19"/>
  <c r="E752" i="19" s="1"/>
  <c r="E680" i="19" l="1"/>
  <c r="E685" i="19" l="1"/>
  <c r="E687" i="19" s="1"/>
  <c r="E695" i="19"/>
  <c r="E697" i="19" s="1"/>
  <c r="E690" i="19"/>
  <c r="E692" i="19" s="1"/>
  <c r="E756" i="19" l="1"/>
  <c r="E758" i="19" l="1"/>
  <c r="E759" i="19"/>
  <c r="E662" i="19" l="1"/>
  <c r="E618" i="19" l="1"/>
  <c r="E621" i="19" s="1"/>
  <c r="E651" i="19" l="1"/>
  <c r="E655" i="19" s="1"/>
  <c r="E611" i="19"/>
  <c r="E614" i="19" s="1"/>
  <c r="E624" i="19"/>
  <c r="E628" i="19" s="1"/>
  <c r="E631" i="19"/>
  <c r="E634" i="19" s="1"/>
  <c r="E637" i="19"/>
  <c r="E641" i="19" s="1"/>
  <c r="E682" i="19" l="1"/>
  <c r="E607" i="19" l="1"/>
  <c r="E601" i="19"/>
  <c r="G486" i="1" l="1"/>
  <c r="G485" i="1" s="1"/>
  <c r="G482" i="1"/>
  <c r="G483" i="1"/>
  <c r="G484" i="1"/>
  <c r="E486" i="1"/>
  <c r="E484" i="1"/>
  <c r="E483" i="1"/>
  <c r="J482" i="1"/>
  <c r="M482" i="1" s="1"/>
  <c r="E482" i="1"/>
  <c r="K482" i="1"/>
  <c r="L486" i="1"/>
  <c r="L485" i="1" s="1"/>
  <c r="K484" i="1"/>
  <c r="J483" i="1"/>
  <c r="M483" i="1" s="1"/>
  <c r="L483" i="1"/>
  <c r="L484" i="1"/>
  <c r="L482" i="1"/>
  <c r="K483" i="1"/>
  <c r="J484" i="1"/>
  <c r="M484" i="1" s="1"/>
  <c r="J486" i="1"/>
  <c r="M486" i="1" s="1"/>
  <c r="K486" i="1"/>
  <c r="K485" i="1" s="1"/>
  <c r="M485" i="1" l="1"/>
  <c r="K487" i="1" l="1"/>
  <c r="K4" i="1" s="1"/>
  <c r="G487" i="1"/>
  <c r="K3" i="1" s="1"/>
  <c r="L487" i="1" l="1"/>
  <c r="K5" i="1" s="1"/>
  <c r="M487" i="1" l="1"/>
  <c r="K6" i="1" s="1"/>
  <c r="K7" i="1" s="1"/>
</calcChain>
</file>

<file path=xl/sharedStrings.xml><?xml version="1.0" encoding="utf-8"?>
<sst xmlns="http://schemas.openxmlformats.org/spreadsheetml/2006/main" count="3444" uniqueCount="1949">
  <si>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</si>
  <si>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</si>
  <si>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</si>
  <si>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</si>
  <si>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</si>
  <si>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</si>
  <si>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</si>
  <si>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</si>
  <si>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</si>
  <si>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</si>
  <si>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</si>
  <si>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</si>
  <si>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</si>
  <si>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</si>
  <si>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</si>
  <si>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</si>
  <si>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</si>
  <si>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</si>
  <si>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</si>
  <si>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</si>
  <si>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</si>
  <si>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</si>
  <si>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</si>
  <si>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</si>
  <si>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</si>
  <si>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</si>
  <si>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</si>
  <si>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</si>
  <si>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</si>
  <si>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</si>
  <si>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</si>
  <si>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</si>
  <si>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</si>
  <si>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</si>
  <si>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</si>
  <si>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</si>
  <si>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</si>
  <si>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</si>
  <si>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</si>
  <si>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</si>
  <si>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</si>
  <si>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</si>
  <si>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</si>
  <si>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</si>
  <si>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</si>
  <si>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</si>
  <si>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</si>
  <si>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</si>
  <si>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</si>
  <si>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</si>
  <si>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</si>
  <si>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</si>
  <si>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</si>
  <si>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</si>
  <si>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</si>
  <si>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</si>
  <si>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</si>
  <si>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</si>
  <si>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</si>
  <si>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</si>
  <si>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</si>
  <si>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</si>
  <si>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</si>
  <si>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</si>
  <si>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</si>
  <si>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</si>
  <si>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</si>
  <si>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</si>
  <si>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</si>
  <si>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</si>
  <si>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</si>
  <si>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</si>
  <si>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</si>
  <si>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</si>
  <si>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</si>
  <si>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</si>
  <si>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</si>
  <si>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</si>
  <si>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</si>
  <si>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</si>
  <si>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</si>
  <si>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</si>
  <si>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</si>
  <si>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</si>
  <si>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</si>
  <si>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</si>
  <si>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</si>
  <si>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</si>
  <si>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</si>
  <si>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</si>
  <si>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</si>
  <si>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</si>
  <si>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</si>
  <si>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</si>
  <si>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</si>
  <si>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</si>
  <si>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</si>
  <si>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</si>
  <si>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</si>
  <si>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</si>
  <si>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</si>
  <si>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</si>
  <si>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</si>
  <si>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</si>
  <si>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</si>
  <si>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</si>
  <si>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</si>
  <si>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</si>
  <si>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</si>
  <si>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</si>
  <si>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</si>
  <si>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</si>
  <si>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</si>
  <si>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</si>
  <si>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</si>
  <si>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</si>
  <si>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</si>
  <si>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</si>
  <si>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</si>
  <si>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</si>
  <si>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</si>
  <si>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</si>
  <si>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</si>
  <si>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</si>
  <si>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</si>
  <si>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</si>
  <si>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</si>
  <si>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</si>
  <si>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</si>
  <si>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</si>
  <si>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</si>
  <si>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</si>
  <si>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</si>
  <si>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</si>
  <si>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</si>
  <si>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</si>
  <si>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</si>
  <si>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</si>
  <si>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</si>
  <si>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</si>
  <si>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</si>
  <si>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</si>
  <si>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</si>
  <si>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</si>
  <si>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</si>
  <si>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</si>
  <si>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</si>
  <si>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</si>
  <si>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</si>
  <si>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</si>
  <si>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</si>
  <si>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</si>
  <si>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</si>
  <si>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</si>
  <si>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</si>
  <si>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</si>
  <si>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</si>
  <si>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</si>
  <si>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</si>
  <si>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</si>
  <si>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</si>
  <si>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</si>
  <si>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</si>
  <si>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</si>
  <si>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</si>
  <si>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</si>
  <si>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</si>
  <si>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</si>
  <si>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</si>
  <si>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</si>
  <si>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</si>
  <si>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</si>
  <si>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</si>
  <si>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</si>
  <si>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</si>
  <si>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</si>
  <si>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</si>
  <si>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</si>
  <si>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</si>
  <si>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</si>
  <si>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</si>
  <si>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</si>
  <si>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</si>
  <si>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</si>
  <si>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</si>
  <si>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</si>
  <si>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</si>
  <si>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</si>
  <si>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</si>
  <si>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</si>
  <si>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</si>
  <si>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</si>
  <si>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</si>
  <si>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</si>
  <si>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</si>
  <si>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</si>
  <si>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</si>
  <si>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</si>
  <si>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</si>
  <si>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</si>
  <si>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</si>
  <si>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</si>
  <si>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</si>
  <si>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</si>
  <si>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</si>
  <si>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</si>
  <si>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</si>
  <si>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</si>
  <si>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</si>
  <si>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</si>
  <si>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</si>
  <si>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</si>
  <si>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</si>
  <si>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</si>
  <si>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</si>
  <si>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</si>
  <si>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</si>
  <si>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</si>
  <si>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</si>
  <si>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</si>
  <si>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</si>
  <si>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</si>
  <si>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</si>
  <si>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</si>
  <si>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</si>
  <si>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</si>
  <si>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</si>
  <si>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</si>
  <si>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</si>
  <si>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</si>
  <si>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</si>
  <si>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</si>
  <si>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</si>
  <si>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</si>
  <si>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</si>
  <si>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</si>
  <si>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</si>
  <si>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</si>
  <si>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</si>
  <si>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</si>
  <si>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</si>
  <si>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</si>
  <si>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</si>
  <si>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</si>
  <si>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</si>
  <si>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</si>
  <si>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</si>
  <si>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</si>
  <si>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</si>
  <si>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</si>
  <si>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</si>
  <si>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</si>
  <si>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</si>
  <si>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</si>
  <si>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</si>
  <si>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</si>
  <si>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</si>
  <si>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</si>
  <si>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</si>
  <si>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</si>
  <si>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</si>
  <si>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</si>
  <si>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</si>
  <si>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</si>
  <si>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</si>
  <si>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</si>
  <si>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</si>
  <si>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</si>
  <si>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</si>
  <si>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</si>
  <si>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</si>
  <si>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</si>
  <si>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</si>
  <si>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</si>
  <si>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</si>
  <si>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</si>
  <si>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</si>
  <si>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</si>
  <si>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</si>
  <si>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</si>
  <si>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</si>
  <si>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</si>
  <si>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</si>
  <si>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</si>
  <si>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</si>
  <si>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</si>
  <si>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</si>
  <si>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</si>
  <si>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</si>
  <si>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</si>
  <si>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</si>
  <si>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</si>
  <si>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</si>
  <si>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</si>
  <si>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</si>
  <si>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</si>
  <si>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</si>
  <si>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</si>
  <si>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</si>
  <si>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</si>
  <si>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</si>
  <si>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</si>
  <si>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</si>
  <si>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</si>
  <si>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</si>
  <si>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</si>
  <si>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</si>
  <si>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</si>
  <si>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</si>
  <si>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</si>
  <si>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</si>
  <si>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</si>
  <si>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</si>
  <si>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</si>
  <si>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</si>
  <si>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</si>
  <si>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</si>
  <si>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</si>
  <si>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</si>
  <si>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</si>
  <si>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</si>
  <si>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</si>
  <si>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</si>
  <si>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</si>
  <si>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</si>
  <si>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</si>
  <si>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</si>
  <si>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</si>
  <si>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</si>
  <si>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</si>
  <si>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</si>
  <si>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</si>
  <si>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</si>
  <si>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</si>
  <si>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</si>
  <si>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</si>
  <si>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</si>
  <si>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</si>
  <si>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</si>
  <si>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</si>
  <si>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</si>
  <si>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</si>
  <si>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</si>
  <si>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</si>
  <si>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</si>
  <si>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</si>
  <si>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</si>
  <si>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</si>
  <si>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</si>
  <si>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</si>
  <si>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</si>
  <si>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</si>
  <si>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</si>
  <si>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</si>
  <si>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</si>
  <si>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</si>
  <si>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</si>
  <si>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</si>
  <si>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</si>
  <si>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</si>
  <si>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</si>
  <si>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</si>
  <si>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</si>
  <si>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</si>
  <si>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</si>
  <si>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</si>
  <si>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</si>
  <si>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</si>
  <si>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</si>
  <si>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</si>
  <si>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</si>
  <si>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</si>
  <si>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</si>
  <si>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</si>
  <si>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</si>
  <si>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</si>
  <si>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</si>
  <si>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</si>
  <si>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</si>
  <si>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</si>
  <si>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</si>
  <si>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</si>
  <si>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</si>
  <si>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</si>
  <si>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</si>
  <si>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</si>
  <si>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</si>
  <si>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</si>
  <si>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</si>
  <si>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</si>
  <si>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</si>
  <si>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</si>
  <si>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</si>
  <si>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</si>
  <si>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</si>
  <si>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</si>
  <si>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</si>
  <si>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</si>
  <si>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</si>
  <si>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</si>
  <si>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</si>
  <si>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</si>
  <si>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</si>
  <si>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</si>
  <si>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</si>
  <si>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</si>
  <si>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</si>
  <si>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</si>
  <si>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</si>
  <si>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</si>
  <si>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</si>
  <si>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</si>
  <si>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</si>
  <si>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</si>
  <si>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</si>
  <si>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</si>
  <si>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</si>
  <si>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</si>
  <si>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</si>
  <si>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</si>
  <si>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</si>
  <si>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</si>
  <si>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</si>
  <si>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</si>
  <si>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</si>
  <si>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</si>
  <si>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</si>
  <si>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</si>
  <si>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</si>
  <si>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</si>
  <si>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</si>
  <si>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</si>
  <si>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</si>
  <si>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</si>
  <si>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</si>
  <si>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</si>
  <si>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</si>
  <si>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</si>
  <si>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</si>
  <si>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</si>
  <si>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</si>
  <si>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</si>
  <si>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</si>
  <si>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</si>
  <si>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</si>
  <si>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</si>
  <si>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</si>
  <si>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</si>
  <si>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</si>
  <si>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</si>
  <si>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</si>
  <si>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</si>
  <si>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</si>
  <si>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</si>
  <si>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</si>
  <si>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</si>
  <si>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</si>
  <si>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</si>
  <si>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</si>
  <si>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</si>
  <si>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</si>
  <si>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</si>
  <si>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</si>
  <si>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</si>
  <si>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</si>
  <si>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</si>
  <si>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</si>
  <si>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</si>
  <si>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</si>
  <si>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</si>
  <si>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</si>
  <si>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</si>
  <si>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</si>
  <si>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</si>
  <si>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</si>
  <si>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</si>
  <si>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</si>
  <si>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</si>
  <si>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</si>
  <si>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</si>
  <si>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</si>
  <si>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</si>
  <si>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</si>
  <si>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</si>
  <si>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</si>
  <si>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</si>
  <si>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</si>
  <si>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</si>
  <si>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</si>
  <si>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</si>
  <si>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</si>
  <si>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</si>
  <si>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</si>
  <si>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</si>
  <si>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</si>
  <si>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</si>
  <si>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</si>
  <si>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</si>
  <si>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</si>
  <si>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</si>
  <si>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</si>
  <si>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</si>
  <si>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</si>
  <si>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</si>
  <si>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</si>
  <si>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</si>
  <si>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</si>
  <si>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</si>
  <si>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</si>
  <si>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</si>
  <si>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</si>
  <si>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</si>
  <si>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</si>
  <si>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</si>
  <si>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</si>
  <si>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</si>
  <si>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</si>
  <si>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</si>
  <si>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</si>
  <si>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</si>
  <si>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</si>
  <si>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</si>
  <si>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</si>
  <si>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</si>
  <si>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</si>
  <si>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</si>
  <si>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</si>
  <si>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</si>
  <si>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</si>
  <si>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</si>
  <si>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</si>
  <si>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</si>
  <si>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</si>
  <si>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</si>
  <si>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</si>
  <si>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</si>
  <si>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</si>
  <si>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</si>
  <si>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</si>
  <si>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</si>
  <si>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</si>
  <si>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</si>
  <si>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</si>
  <si>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</si>
  <si>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</si>
  <si>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</si>
  <si>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</si>
  <si>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</si>
  <si>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</si>
  <si>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</si>
  <si>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</si>
  <si>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</si>
  <si>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</si>
  <si>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</si>
  <si>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</si>
  <si>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</si>
  <si>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</si>
  <si>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</si>
  <si>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</si>
  <si>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</si>
  <si>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</si>
  <si>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</si>
  <si>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</si>
  <si>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</si>
  <si>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</si>
  <si>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</si>
  <si>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</si>
  <si>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</si>
  <si>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</si>
  <si>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</si>
  <si>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</si>
  <si>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</si>
  <si>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</si>
  <si>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</si>
  <si>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</si>
  <si>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</si>
  <si>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</si>
  <si>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</si>
  <si>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</si>
  <si>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</si>
  <si>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</si>
  <si>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</si>
  <si>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</si>
  <si>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</si>
  <si>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</si>
  <si>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</si>
  <si>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</si>
  <si>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</si>
  <si>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</si>
  <si>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</si>
  <si>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</si>
  <si>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</si>
  <si>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</si>
  <si>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</si>
  <si>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</si>
  <si>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</si>
  <si>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</si>
  <si>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</si>
  <si>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</si>
  <si>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</si>
  <si>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</si>
  <si>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</si>
  <si>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</si>
  <si>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</si>
  <si>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</si>
  <si>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</si>
  <si>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</si>
  <si>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</si>
  <si>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</si>
  <si>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</si>
  <si>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</si>
  <si>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</si>
  <si>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</si>
  <si>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</si>
  <si>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</si>
  <si>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</si>
  <si>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</si>
  <si>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</si>
  <si>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</si>
  <si>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</si>
  <si>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</si>
  <si>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</si>
  <si>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</si>
  <si>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</si>
  <si>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</si>
  <si>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</si>
  <si>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</si>
  <si>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</si>
  <si>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</si>
  <si>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</si>
  <si>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</si>
  <si>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</si>
  <si>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</si>
  <si>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</si>
  <si>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</si>
  <si>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</si>
  <si>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</si>
  <si>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</si>
  <si>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</si>
  <si>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</si>
  <si>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</si>
  <si>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</si>
  <si>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</si>
  <si>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</si>
  <si>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</si>
  <si>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</si>
  <si>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</si>
  <si>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</si>
  <si>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</si>
  <si>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</si>
  <si>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</si>
  <si>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</si>
  <si>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</si>
  <si>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</si>
  <si>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</si>
  <si>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</si>
  <si>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</si>
  <si>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</si>
  <si>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</si>
  <si>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</si>
  <si>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</si>
  <si>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</si>
  <si>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</si>
  <si>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</si>
  <si>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</si>
  <si>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</si>
  <si>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</si>
  <si>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</si>
  <si>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</si>
  <si>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</si>
  <si>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</si>
  <si>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</si>
  <si>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</si>
  <si>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</si>
  <si>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</si>
  <si>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</si>
  <si>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</si>
  <si>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</si>
  <si>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</si>
  <si>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</si>
  <si>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</si>
  <si>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</si>
  <si>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</si>
  <si>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</si>
  <si>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</si>
  <si>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</si>
  <si>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</si>
  <si>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</si>
  <si>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</si>
  <si>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</si>
  <si>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</si>
  <si>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</si>
  <si>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</si>
  <si>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</si>
  <si>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</si>
  <si>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</si>
  <si>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</si>
  <si>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</si>
  <si>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</si>
  <si>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</si>
  <si>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</si>
  <si>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</si>
  <si>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</si>
  <si>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</si>
  <si>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</si>
  <si>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</si>
  <si>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</si>
  <si>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</si>
  <si>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</si>
  <si>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</si>
  <si>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</si>
  <si>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</si>
  <si>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</si>
  <si>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</si>
  <si>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</si>
  <si>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</si>
  <si>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</si>
  <si>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</si>
  <si>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</si>
  <si>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</si>
  <si>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</si>
  <si>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</si>
  <si>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</si>
  <si>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</si>
  <si>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</si>
  <si>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</si>
  <si>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</si>
  <si>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</si>
  <si>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</si>
  <si>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</si>
  <si>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</si>
  <si>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</si>
  <si>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</si>
  <si>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</si>
  <si>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</si>
  <si>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</si>
  <si>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</si>
  <si>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</si>
  <si>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</si>
  <si>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</si>
  <si>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</si>
  <si>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</si>
  <si>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</si>
  <si>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</si>
  <si>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</si>
  <si>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</si>
  <si>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</si>
  <si>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</si>
  <si>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</si>
  <si>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</si>
  <si>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</si>
  <si>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</si>
  <si>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</si>
  <si>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</si>
  <si>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</si>
  <si>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</si>
  <si>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</si>
  <si>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</si>
  <si>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</si>
  <si>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</si>
  <si>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</si>
  <si>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</si>
  <si>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</si>
  <si>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</si>
  <si>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</si>
  <si>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</si>
  <si>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</si>
  <si>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</si>
  <si>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</si>
  <si>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</si>
  <si>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</si>
  <si>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</si>
  <si>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</si>
  <si>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</si>
  <si>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</si>
  <si>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</si>
  <si>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</si>
  <si>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</si>
  <si>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</si>
  <si>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</si>
  <si>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</si>
  <si>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</si>
  <si>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</si>
  <si>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</si>
  <si>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</si>
  <si>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</si>
  <si>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</si>
  <si>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</si>
  <si>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</si>
  <si>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</si>
  <si>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</si>
  <si>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</si>
  <si>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</si>
  <si>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</si>
  <si>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</si>
  <si>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</si>
  <si>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</si>
  <si>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</si>
  <si>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</si>
  <si>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</si>
  <si>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</si>
  <si>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</si>
  <si>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</si>
  <si>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</si>
  <si>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</si>
  <si>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</si>
  <si>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</si>
  <si>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</si>
  <si>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</si>
  <si>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</si>
  <si>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</si>
  <si>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</si>
  <si>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</si>
  <si>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</si>
  <si>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</si>
  <si>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</si>
  <si>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</si>
  <si>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</si>
  <si>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</si>
  <si>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</si>
  <si>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</si>
  <si>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</si>
  <si>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</si>
  <si>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</si>
  <si>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</si>
  <si>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1.0</t>
  </si>
  <si>
    <t>1.1</t>
  </si>
  <si>
    <t>6.0</t>
  </si>
  <si>
    <t>Total de aministração de obra executado (und) =</t>
  </si>
  <si>
    <t>Total de aministração de obra de contrato (und) =</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</si>
  <si>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</si>
  <si>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</si>
  <si>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</si>
  <si>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</si>
  <si>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</si>
  <si>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</si>
  <si>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</si>
  <si>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</si>
  <si>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</si>
  <si>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</si>
  <si>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</si>
  <si>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</si>
  <si>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</si>
  <si>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</si>
  <si>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</si>
  <si>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</si>
  <si>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</si>
  <si>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</si>
  <si>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</si>
  <si>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</si>
  <si>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</si>
  <si>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</si>
  <si>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</si>
  <si>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</si>
  <si>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</si>
  <si>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</si>
  <si>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</si>
  <si>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</si>
  <si>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</si>
  <si>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</si>
  <si>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</si>
  <si>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</si>
  <si>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</si>
  <si>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</si>
  <si>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</si>
  <si>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</si>
  <si>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</si>
  <si>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</si>
  <si>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</si>
  <si>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</si>
  <si>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M³/dia</t>
  </si>
  <si>
    <t>9.0</t>
  </si>
  <si>
    <t>9.1</t>
  </si>
  <si>
    <t>Total de área de chapisco aplicado executado (m²) =</t>
  </si>
  <si>
    <t>Total de área chapisco aplicado de contrato (m²) =</t>
  </si>
  <si>
    <t>Copa</t>
  </si>
  <si>
    <t>Wc feminino</t>
  </si>
  <si>
    <t>Wc masculino</t>
  </si>
  <si>
    <t>Quantidade (und)</t>
  </si>
  <si>
    <t>Shaft</t>
  </si>
  <si>
    <t>Área Total (m²)</t>
  </si>
  <si>
    <t>12.0</t>
  </si>
  <si>
    <t>12.4</t>
  </si>
  <si>
    <t>Total de contrapiso em argamassa executado (m²)=</t>
  </si>
  <si>
    <t>Total de contrapiso em argamassa de contrato (m²)=</t>
  </si>
  <si>
    <t>Enfermaria</t>
  </si>
  <si>
    <t>Wc masc. 01</t>
  </si>
  <si>
    <t>Wc fem. 01</t>
  </si>
  <si>
    <t>Circulação</t>
  </si>
  <si>
    <t>Recepção</t>
  </si>
  <si>
    <t xml:space="preserve">Café </t>
  </si>
  <si>
    <t>Apoio</t>
  </si>
  <si>
    <t>Sala de estar vip</t>
  </si>
  <si>
    <t>Wc fem 02</t>
  </si>
  <si>
    <t>Wc masc. 02</t>
  </si>
  <si>
    <t>Total de área de contrapiso em argamassa executado (m²) =</t>
  </si>
  <si>
    <t>Total de área contrapiso em argamassa de contrato (m²) =</t>
  </si>
  <si>
    <t>Depósito</t>
  </si>
  <si>
    <t>Total (m²)</t>
  </si>
  <si>
    <t>Salão nobre</t>
  </si>
  <si>
    <t>Hall</t>
  </si>
  <si>
    <t>Camarim</t>
  </si>
  <si>
    <t>Servidor</t>
  </si>
  <si>
    <t>Wc PCD</t>
  </si>
  <si>
    <t>Escada</t>
  </si>
  <si>
    <t>1º Pavimento</t>
  </si>
  <si>
    <t>24.0</t>
  </si>
  <si>
    <t>17.0</t>
  </si>
  <si>
    <t>17.3</t>
  </si>
  <si>
    <t>2º Pavimento</t>
  </si>
  <si>
    <t>3º Pavimento</t>
  </si>
  <si>
    <t>Circulação restrita</t>
  </si>
  <si>
    <t>Wc vereador</t>
  </si>
  <si>
    <t>9.2</t>
  </si>
  <si>
    <t>9.2.1</t>
  </si>
  <si>
    <t>9.2.2</t>
  </si>
  <si>
    <t>18.0</t>
  </si>
  <si>
    <t>Casarão</t>
  </si>
  <si>
    <t>12.2</t>
  </si>
  <si>
    <t>Wc vereadores</t>
  </si>
  <si>
    <t>Total de revestimento cerâmico para piso executado (m²) =</t>
  </si>
  <si>
    <t>Total de área de emboço ou massa única executado (m²) =</t>
  </si>
  <si>
    <t>Total de área emboço ou massa única de contrato (m²) =</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</si>
  <si>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</si>
  <si>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</si>
  <si>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</si>
  <si>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</si>
  <si>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</si>
  <si>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</si>
  <si>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</si>
  <si>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</si>
  <si>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</si>
  <si>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</si>
  <si>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</si>
  <si>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</si>
  <si>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</si>
  <si>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</si>
  <si>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</si>
  <si>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</si>
  <si>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</si>
  <si>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</si>
  <si>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</si>
  <si>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</si>
  <si>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</si>
  <si>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</si>
  <si>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</si>
  <si>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</si>
  <si>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</si>
  <si>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</si>
  <si>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</si>
  <si>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</si>
  <si>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</si>
  <si>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</si>
  <si>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</si>
  <si>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</si>
  <si>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</si>
  <si>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4º Pavimento</t>
  </si>
  <si>
    <t>11.1</t>
  </si>
  <si>
    <t>Total de impermeabilização de superfície com manta asfáltica executado (m²)=</t>
  </si>
  <si>
    <t>Total de impermeabilização com manta asfáltica de contrato (m²)=</t>
  </si>
  <si>
    <t>19.0</t>
  </si>
  <si>
    <t>19.4</t>
  </si>
  <si>
    <t>ELEVADOR ELÉTRICO SOCIAL PARA 08 PASSAGEIROS OU 600kg, COM  07 PARADAS, PAINEIS E TETO EM AÇO ESCOVADO, CORRIMÃO TUBULAR, PORTAS AÇO INOX, CABIA 1,20- FRENTE x 1,40-FUNDO x ALTURA 2,2m INOXIDAVEL, ATLAS SCHINDLER 3300, MODELO MEDITERRANEE OU SIMILAR</t>
  </si>
  <si>
    <t>Total de elevador elétrico social para 08 passageiros executado (und) =</t>
  </si>
  <si>
    <t>Total de elevador elétrico social para 08 passageiros de contrato (und) =</t>
  </si>
  <si>
    <t>Total de elevador elétrico social para 08 passageiros medido até o BM 16 (und) =</t>
  </si>
  <si>
    <t>Total de elevador elétrico social para 08 passageiros a medir no BM 17 (und) =</t>
  </si>
  <si>
    <t>11.6</t>
  </si>
  <si>
    <t>24.4</t>
  </si>
  <si>
    <t>Total de grauteamento de cinta intermediária de contrato (m³)=</t>
  </si>
  <si>
    <t>Total de grauteamento de cinta intermediária executado (m³)=</t>
  </si>
  <si>
    <t>24.4.7</t>
  </si>
  <si>
    <t>24.4.8</t>
  </si>
  <si>
    <t>RESTAURO - EXECUÇÃO DE ORNATO COM CONFECÇÃO DE MOLDE E FÔRMA - 02 USOS</t>
  </si>
  <si>
    <t>24.4.10</t>
  </si>
  <si>
    <t>Total de restauro - execução de ornato executado (m³)=</t>
  </si>
  <si>
    <t>Total de restauro - execução de ornato de contrato (m³)=</t>
  </si>
  <si>
    <t>Área de reboco (m²)</t>
  </si>
  <si>
    <t>Total de chapisco aplicado em alvenaria executado (m²)=</t>
  </si>
  <si>
    <t>Total de chapisco aplicado em alvenaria de contrato (m²)=</t>
  </si>
  <si>
    <t>Estacionamento</t>
  </si>
  <si>
    <t>Nível 0,0 a +1,30m</t>
  </si>
  <si>
    <t>Parede da área técnica térreo</t>
  </si>
  <si>
    <t>Nível +1,30m a +4,50m</t>
  </si>
  <si>
    <t>Parede da área técnica mesanino</t>
  </si>
  <si>
    <t>Nível +4,50m a +8,40m</t>
  </si>
  <si>
    <t>Parede da área técnica do 1º pavimento</t>
  </si>
  <si>
    <t>Nível +8,40m a +11,60m</t>
  </si>
  <si>
    <t>Jardineira da coberta do casarão</t>
  </si>
  <si>
    <t>20.0</t>
  </si>
  <si>
    <t>20.1</t>
  </si>
  <si>
    <t>Total (m)</t>
  </si>
  <si>
    <t>Total de tubulação de aço galvanizado executado (m)=</t>
  </si>
  <si>
    <t>20.2</t>
  </si>
  <si>
    <t>Total de tubulação de aço galvanizado medido até o BM 18 (m)=</t>
  </si>
  <si>
    <t>Total de tubulação de aço galvanizado a medir no BM 19 (m)=</t>
  </si>
  <si>
    <t>20.3</t>
  </si>
  <si>
    <t>20.4</t>
  </si>
  <si>
    <t>Total de abrigo para hidrantes executado (und)=</t>
  </si>
  <si>
    <t>Total de abrigo para hidrantes medido até o BM 18 (und)=</t>
  </si>
  <si>
    <t>Total de abrigo para hidrantes a medir no BM 19 (und)=</t>
  </si>
  <si>
    <t>Total de tê, em ferro galvanizado executado (und)=</t>
  </si>
  <si>
    <t>Total de tê, em ferro galvanizado medido até o BM 18 (und)=</t>
  </si>
  <si>
    <t>Total de tê, em ferro galvanizado a medir no BM 19 (und)=</t>
  </si>
  <si>
    <t>Total de joelho 90º, em ferro galvanizado executado (und)=</t>
  </si>
  <si>
    <t>Total de joelho 90º, em ferro galvanizado medido até o BM 18 (und)=</t>
  </si>
  <si>
    <t>Total de joelho 90º, em ferro galvanizado a medir no BM 19 (und)=</t>
  </si>
  <si>
    <t>13.0</t>
  </si>
  <si>
    <t>13.1</t>
  </si>
  <si>
    <t>Total de área de forro de contrato (m²) =</t>
  </si>
  <si>
    <t>15.0</t>
  </si>
  <si>
    <t>15.1</t>
  </si>
  <si>
    <t>Total de cortina de vidro de contrato (m²)=</t>
  </si>
  <si>
    <t>8.0</t>
  </si>
  <si>
    <t>8.1</t>
  </si>
  <si>
    <t>8.1.8</t>
  </si>
  <si>
    <t>24.1</t>
  </si>
  <si>
    <t>Total de grauteamento de cinta intermediária medido até o BM 19 (m³)=</t>
  </si>
  <si>
    <t>Total de grauteamento de cinta intermediária a medir no BM 20 (m³)=</t>
  </si>
  <si>
    <t>Total de escarificação de superficie executado (m²)=</t>
  </si>
  <si>
    <t>Total de escarificação de superficie de contrato (m³)=</t>
  </si>
  <si>
    <t>Total de escarificação de superficie medido até o BM 19 (m³)=</t>
  </si>
  <si>
    <t>Total de escarificação de superficie a medir no BM 20 (m³)=</t>
  </si>
  <si>
    <t>Total de restauro - execução de ornatos a aditar (m²)=</t>
  </si>
  <si>
    <t>Total de restauro - execução de ornato medido até o BM 19 (m³)=</t>
  </si>
  <si>
    <t>24.4.1</t>
  </si>
  <si>
    <t>Total de limpeza de superfície executado (m²)=</t>
  </si>
  <si>
    <t>Total de limpeza de superfície de contrato (m²)=</t>
  </si>
  <si>
    <t>Total de limpeza de superfície medido até o BM 19 (m²)=</t>
  </si>
  <si>
    <t>Total de limpeza de superfície a medir no BM 20 (m²)=</t>
  </si>
  <si>
    <t>Total de forro medido até o BM 19 (m²)=</t>
  </si>
  <si>
    <t>Total de forro a medir no BM 20 (m²)=</t>
  </si>
  <si>
    <t>Térreo</t>
  </si>
  <si>
    <t>Wc fem. E masc.</t>
  </si>
  <si>
    <t>10.0</t>
  </si>
  <si>
    <t>10.1</t>
  </si>
  <si>
    <t>10.1.1</t>
  </si>
  <si>
    <t>Total de fundo selador acrílico executado (m²)=</t>
  </si>
  <si>
    <t>Total de fundo selador acrílico de contrato (m²)=</t>
  </si>
  <si>
    <t>10.1.2</t>
  </si>
  <si>
    <t>Total de aplicação manual de massa acrílica executado (m²)=</t>
  </si>
  <si>
    <t>Total de aplicação manual de massa acrílica de contrato (m²)=</t>
  </si>
  <si>
    <t>Nível +11,60m a +14,80m</t>
  </si>
  <si>
    <t>7.0</t>
  </si>
  <si>
    <t>7.1</t>
  </si>
  <si>
    <t>Total de tratamento de junta de dilatação executado (m)=</t>
  </si>
  <si>
    <t>Total de tratamento de junta de dilatação de contrato (m)=</t>
  </si>
  <si>
    <t>8.2</t>
  </si>
  <si>
    <t>9.3</t>
  </si>
  <si>
    <t>9.3.1</t>
  </si>
  <si>
    <t>Total de painel de lã de vidro executado (m²) =</t>
  </si>
  <si>
    <t>Total de painel de lã de vidro de contrato (m²) =</t>
  </si>
  <si>
    <t>11.0</t>
  </si>
  <si>
    <t>12.1</t>
  </si>
  <si>
    <t>Total de piso vinilico semi-flexível executado (m²) =</t>
  </si>
  <si>
    <t>Total de piso vinilico semi-flexível de contrato (m²) =</t>
  </si>
  <si>
    <t>Total de revestimento cerâmico para piso de contrato (m²) =</t>
  </si>
  <si>
    <t>12.3</t>
  </si>
  <si>
    <t>Total de piso em granito aplicado em calçadas executado (m²) =</t>
  </si>
  <si>
    <t>Total de piso em granito aplicado em calçadas de contrato (m²) =</t>
  </si>
  <si>
    <t>Total de piso em granito aplicado em calçadas até o BM 19 (m²) =</t>
  </si>
  <si>
    <t>Total de área piso em granito aplicado em calçadas à medir no BM 20 (m²) =</t>
  </si>
  <si>
    <t>12.7</t>
  </si>
  <si>
    <t>Total de piso em granito aplicado em ambientes internos executado (m²) =</t>
  </si>
  <si>
    <t>Total de piso em granito aplicado em ambientes internos de contrato (m²) =</t>
  </si>
  <si>
    <t>16.0</t>
  </si>
  <si>
    <t>18.1.5</t>
  </si>
  <si>
    <t>Total de ponto elétrico de tomada para chuveiro executado (und) =</t>
  </si>
  <si>
    <t>Total de  ponto elétrico de tomada para chuveiro de contrato (und) =</t>
  </si>
  <si>
    <t>Total de ponto elétrico de tomada de para chuveiro  medido  até o BM 19 (und) =</t>
  </si>
  <si>
    <t>Total de  ponto elétrico de tomada de para chuveiro  à medir no BM 20 (und) =</t>
  </si>
  <si>
    <t>ELEVADOR ELÉTRICO SOCIAL PARA 08 PASSAGEIROS OU 600kg, COM 07 PARADAS, PAINEIS E TETO EM AÇO ESCOVADO, CORRIMÃO TUBULAR, PORTAAS AÇO INOX, CABINA 1,20-frente x 1,40-fundo x altura 2,2m INOXIDAVEL, ATLAS SCHINDLESR 3300, MODELO MEDITERRANÉE OU SIMILAR</t>
  </si>
  <si>
    <t>Total de elevador elétrico social executado (und)=</t>
  </si>
  <si>
    <t>Total de elevador elétrico social a medir no BM 20 (und)=</t>
  </si>
  <si>
    <t>Total de elevador elétrico social medido até o BM 19 (und)=</t>
  </si>
  <si>
    <t>Total de elevador elétrico social contrato (und)=</t>
  </si>
  <si>
    <t>23.1.3</t>
  </si>
  <si>
    <t>Total de cabo de fibra optica executada (m)=</t>
  </si>
  <si>
    <t>Total de cabo de fibra optica de contrato (m)=</t>
  </si>
  <si>
    <t>Total de cabo de fibra optica medido até o BM 19 (m)=</t>
  </si>
  <si>
    <t>Total de cabo de fibra optica a medir no BM 20 (m)=</t>
  </si>
  <si>
    <t>Subsolo</t>
  </si>
  <si>
    <t>Vestiário fem. E masc.</t>
  </si>
  <si>
    <t>Wc Presidência</t>
  </si>
  <si>
    <t>Café</t>
  </si>
  <si>
    <t>Rampa</t>
  </si>
  <si>
    <t>Total (und)</t>
  </si>
  <si>
    <t>Wc masculino 01</t>
  </si>
  <si>
    <t>Wc feminino 01</t>
  </si>
  <si>
    <t>Wc masculino 02</t>
  </si>
  <si>
    <t>Wc feminino 02</t>
  </si>
  <si>
    <t>CS1</t>
  </si>
  <si>
    <t>6.2</t>
  </si>
  <si>
    <t>Total de parede com placas de gesso acartonado executado (m²) =</t>
  </si>
  <si>
    <t>Total de parede com placas de gesso acartonado de contrato (m²) =</t>
  </si>
  <si>
    <t>Desconto (m²)</t>
  </si>
  <si>
    <t>Nível +14,80m a +18,00m</t>
  </si>
  <si>
    <t>Nível +18,00m a +21,20m</t>
  </si>
  <si>
    <t>Nível +21,20m a +22,10m</t>
  </si>
  <si>
    <t>Nível +24,00m a +27,00m</t>
  </si>
  <si>
    <t>Rampa do estacionamento 01</t>
  </si>
  <si>
    <t>Rampa de pedestre</t>
  </si>
  <si>
    <t>Total de emboço ou massa única em argamassa de contrato (m²)=</t>
  </si>
  <si>
    <t>Total de fundo selador acrílico medido até o BM 20 (m²)=</t>
  </si>
  <si>
    <t>Total de fundo selador acrílico a medir no BM 21 (m²)=</t>
  </si>
  <si>
    <t>10.1.3</t>
  </si>
  <si>
    <t>Total de pintura látex acrílica premium executado (m²)=</t>
  </si>
  <si>
    <t>Total de aplicação manual de massa acrílica medido até o BM 20 (m²)=</t>
  </si>
  <si>
    <t>Total de aplicação manual de massa acrílica a medir no BM 21 (m²)=</t>
  </si>
  <si>
    <t>Total de pintura látex acrílica premium medido até o BM 20 (m²)=</t>
  </si>
  <si>
    <t>Total de pintura látex acrílica premium a medir no BM 21 (m²)=</t>
  </si>
  <si>
    <t>vTotal de pintura látex acrílica premium de contrato (m²)=</t>
  </si>
  <si>
    <t>10.2</t>
  </si>
  <si>
    <t>10.2.1</t>
  </si>
  <si>
    <t>10.2.2</t>
  </si>
  <si>
    <t>10.2.3</t>
  </si>
  <si>
    <t>Total de aplicação manual de pintura com tinta executado (m²)=</t>
  </si>
  <si>
    <t>Total de aplicação manual de pintura com tinta de contrato (m²)=</t>
  </si>
  <si>
    <t>Diretoria LEG</t>
  </si>
  <si>
    <t>Auditório</t>
  </si>
  <si>
    <t>Depósito 01</t>
  </si>
  <si>
    <t>Wc presidência</t>
  </si>
  <si>
    <t>Depósito 02</t>
  </si>
  <si>
    <t>INSTALAÇÕES HIDROSANITÁRIAS</t>
  </si>
  <si>
    <t>17.2</t>
  </si>
  <si>
    <t>17.3.10</t>
  </si>
  <si>
    <t>18.4</t>
  </si>
  <si>
    <t>Total de cabo de cobre isolado executado (m)=</t>
  </si>
  <si>
    <t>18.4.3</t>
  </si>
  <si>
    <t>18.4.4</t>
  </si>
  <si>
    <t>Total de cabo de cobre isolado de contrato (m)=</t>
  </si>
  <si>
    <t>Total de cabo de cobre isolado medido até o BM 20 (m)=</t>
  </si>
  <si>
    <t>Total de cabo de cobre isolado a medir no BM 21 (m)=</t>
  </si>
  <si>
    <t>18.8.7</t>
  </si>
  <si>
    <t>Total de eletrocalha perfurada tipo "U" 300x100 executado (m)=</t>
  </si>
  <si>
    <t>Total de eletrocalha perfurada tipo "U" 300x100 de contrato (m)=</t>
  </si>
  <si>
    <t>Total de eletrocalha perfurada tipo "U" 300x100 até o BM 20 (m)=</t>
  </si>
  <si>
    <t>Total de eletrocalha perfurada tipo "U" 300x100 a medir no BM 21 (m)=</t>
  </si>
  <si>
    <t>Data center</t>
  </si>
  <si>
    <t>Área de convidados</t>
  </si>
  <si>
    <t>6.3</t>
  </si>
  <si>
    <t>Total de divisória sanitária executado (m²)=</t>
  </si>
  <si>
    <t>6.5</t>
  </si>
  <si>
    <t>Total de divisória em vidro temperado executado (m²)=</t>
  </si>
  <si>
    <t>Total de divisória sanitária de contrato (m²)=</t>
  </si>
  <si>
    <t>Total de divisória em vidro temperado de contrato (m²)=</t>
  </si>
  <si>
    <t>9.1.4</t>
  </si>
  <si>
    <t>Total de rodapé em poliestireno executado (m)=</t>
  </si>
  <si>
    <t>Total de rodapé em poliestireno de contrato (m)=</t>
  </si>
  <si>
    <t>12.8</t>
  </si>
  <si>
    <t>Total de piso elevado executado (m²) =</t>
  </si>
  <si>
    <t>Total de piso elevado de contrato (m²) =</t>
  </si>
  <si>
    <t>12.9</t>
  </si>
  <si>
    <t>Total de concretagem de radier executado (m³) =</t>
  </si>
  <si>
    <t>12.10</t>
  </si>
  <si>
    <t>Total de acabamento polido de contrato (m²) =</t>
  </si>
  <si>
    <t>Total de acabamento polido medido até o BM 20 (m²) =</t>
  </si>
  <si>
    <t>Total de acabamento polido a medir no BM 21 (m²) =</t>
  </si>
  <si>
    <t>Total de concretagem de radier de contrato (m³) =</t>
  </si>
  <si>
    <t>Total de concretagem de radier medido até o BM 20 (m³) =</t>
  </si>
  <si>
    <t>Total de concretagem de radier a medir no BM 21 (m³) =</t>
  </si>
  <si>
    <t>Total de acabamento polido executado (m²) =</t>
  </si>
  <si>
    <t>A quantidade a ser medida será referente a parte de compra do material a ser utilizado do valor contratado (m²) =</t>
  </si>
  <si>
    <t>Vestiários</t>
  </si>
  <si>
    <t>11.5</t>
  </si>
  <si>
    <t>Total de reparo/colagem de estruturas de concreto executado (m²)=</t>
  </si>
  <si>
    <t>Total de  reparo/colagem de estruturas de concreto de contrato (m²)=</t>
  </si>
  <si>
    <t>Total de piso vinilico semi-flexível até o BM 20 (m²) =</t>
  </si>
  <si>
    <t>Total de área de piso vinilico semi-flexível à medir no BM 21 (m²) =</t>
  </si>
  <si>
    <t>18.8.12</t>
  </si>
  <si>
    <t>Total de eletrocalha perfurada tipo "U" 50x50 executado (m)=</t>
  </si>
  <si>
    <t>Total de eletrocalha perfurada tipo "U" 50x50 de contrato (m)=</t>
  </si>
  <si>
    <t>Total de eletrocalha perfurada tipo "U" 50x50 até o BM 20 (m)=</t>
  </si>
  <si>
    <t>Total de eletrocalha perfurada tipo "U" 50x50 a medir no BM 21 (m)=</t>
  </si>
  <si>
    <t>Total de abrigo para hidrante executado (und)=</t>
  </si>
  <si>
    <t>Total de abrigo para hidrante de contrato (m)=</t>
  </si>
  <si>
    <t>Total de abrigo para hidrante medido até o BM 20 (m)=</t>
  </si>
  <si>
    <t>Total de abrigo para hidrante a medir no BM 21 (m)=</t>
  </si>
  <si>
    <t>18.1</t>
  </si>
  <si>
    <t>PONTOS ELÉTRICOS</t>
  </si>
  <si>
    <t>18.1.1</t>
  </si>
  <si>
    <t>18.1.3</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</si>
  <si>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</si>
  <si>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</si>
  <si>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</si>
  <si>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</si>
  <si>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DEMOLIÇÃO DE PISO DE CONCRETO SIMPLES, DE FORMA MECANIZADA COM MARTELETE, SEM REAPROVEITAMENTO. AF_09/2023</t>
  </si>
  <si>
    <t xml:space="preserve"> 3.3</t>
  </si>
  <si>
    <t>FABRICAÇÃO DE FÔRMA PARA PILARES E ESTRUTURAS SIMILARES, EM MADEIRA SERRADA, E=25 MM. AF_09/2020</t>
  </si>
  <si>
    <t xml:space="preserve"> 5.18</t>
  </si>
  <si>
    <t xml:space="preserve"> 5.19</t>
  </si>
  <si>
    <t>MONTAGEM E DESMONTAGEM DE FÔRMA DE PILARES RETANGULARES E ESTRUTURAS SIMILARES, PÉ-DIREITO SIMPLES, EM MADEIRA SERRADA, 4 UTILIZAÇÕES. AF_09/2020</t>
  </si>
  <si>
    <t xml:space="preserve"> 5.20</t>
  </si>
  <si>
    <t>FABRICAÇÃO DE FÔRMA PARA VIGAS, COM MADEIRA SERRADA, E = 25 MM. AF_09/ 2020</t>
  </si>
  <si>
    <t xml:space="preserve"> 5.21</t>
  </si>
  <si>
    <t>MONTAGEM E DESMONTAGEM DE FÔRMA DE VIGA, ESCORAMENTO COM PONTALETE DE MADEIRA, PÉ-DIREITO SIMPLES, EM MADEIRA SERRADA, 4 UTILIZAÇÕES. AF_09/2020</t>
  </si>
  <si>
    <t xml:space="preserve"> 5.22</t>
  </si>
  <si>
    <t>FABRICAÇÃO DE FÔRMA PARA LAJES, EM CHAPA DE MADEIRA COMPENSADA PLASTIFICADA, E = 18 MM. AF_09/2020</t>
  </si>
  <si>
    <t xml:space="preserve"> 5.23</t>
  </si>
  <si>
    <t>MONTAGEM E DESMONTAGEM DE FÔRMA DE LAJE MACIÇA, PÉ-DIREITO SIMPLES, EM CHAPA DE MADEIRA COMPENSADA PLASTIFICADA, 4 UTILIZAÇÕES. AF_09/2020</t>
  </si>
  <si>
    <t xml:space="preserve"> 5.24</t>
  </si>
  <si>
    <t>VERGA MOLDADA IN LOCO EM CONCRETO PARA PORTAS COM MAIS DE 1,5 M DE VÃO. AF_03/2016</t>
  </si>
  <si>
    <t xml:space="preserve"> 5.25</t>
  </si>
  <si>
    <t>VERGA MOLDADA IN LOCO EM CONCRETO PARA PORTAS COM ATÉ 1,5 M DE VÃO. AF_03/2016</t>
  </si>
  <si>
    <t xml:space="preserve"> 5.26</t>
  </si>
  <si>
    <t>VERGA MOLDADA IN LOCO EM CONCRETO PARA JANELAS COM MAIS DE 1,5 M DE VÃO. AF_03/2016</t>
  </si>
  <si>
    <t xml:space="preserve"> 5.27</t>
  </si>
  <si>
    <t>CONTRAVERGA MOLDADA IN LOCO EM CONCRETO PARA VÃOS DE MAIS DE 1,5 M DE COMPRIMENTO. AF_03/2016</t>
  </si>
  <si>
    <t xml:space="preserve"> 5.28</t>
  </si>
  <si>
    <t>VERGA MOLDADA IN LOCO EM CONCRETO PARA JANELAS COM ATÉ 1,5 M DE VÃO. AF_03/2016</t>
  </si>
  <si>
    <t xml:space="preserve"> 5.29</t>
  </si>
  <si>
    <t>CONTRAVERGA MOLDADA IN LOCO EM CONCRETO PARA VÃOS DE ATÉ 1,5 M DE COMPRIMENTO. AF_03/2016</t>
  </si>
  <si>
    <t xml:space="preserve"> 5.30</t>
  </si>
  <si>
    <t>ESCORAMENTO EM AÇO PARA ESTRUTURAS COM TORRES LTT SH CAPACIDADE DE CARGA 12T, OU SIMILAR, EXCETO TRANSPORTE</t>
  </si>
  <si>
    <t>M³/DIA</t>
  </si>
  <si>
    <t xml:space="preserve"> 6.6</t>
  </si>
  <si>
    <t>FIXAÇÃO (ENCUNHAMENTO) DE ALVENARIA DE VEDAÇÃO COM ESPUMA DE POLIURETANO EXPANSIVA. AF_03/2024</t>
  </si>
  <si>
    <t xml:space="preserve"> 9.1.5</t>
  </si>
  <si>
    <t>MASSA ÚNICA, PARA RECEBIMENTO DE PINTURA, EM ARGAMASSA TRAÇO 1:2:8, PREPARO MECÂNICO COM BETONEIRA 400L, APLICADA MANUALMENTE EM FACES INTERNAS DE PAREDES, ESPESSURA DE 60MM, COM EXECUÇÃO DE TALISCAS, INCLUSO TELA FACHADEIRA</t>
  </si>
  <si>
    <t xml:space="preserve"> 9.1.6</t>
  </si>
  <si>
    <t>CHAPISCO APLICADO NO TETO OU EM ALVENARIA E ESTRUTURA, COM ROLO PARA TEXTURA ACRÍLICA. ARGAMASSA TRAÇO 1:4 E EMULSÃO POLIMÉRICA (ADESIVO) COM PREPARO EM BETONEIRA 400L. AF_10/2022</t>
  </si>
  <si>
    <t xml:space="preserve"> 11.7</t>
  </si>
  <si>
    <t>IMPERMEABILIZAÇÃO DE SUPERFÍCIE COM MANTA ASFÁLTICA  4MM, ESTRUTURADA COM ÃO TECIDO DE POLIESTER (ANTI-RAIZ), UMA CAMADA, INCLUSIVE APLICAÇÃO DE PRIMER ASFÁLTICO, EXCETO PROTEÇÃO MECÂNICA.</t>
  </si>
  <si>
    <t xml:space="preserve"> 12.15 </t>
  </si>
  <si>
    <t>SOLEIRA EM GRANITO, LARGURA 15 CM, ESPESSURA 2,0 CM. AF_09/2020</t>
  </si>
  <si>
    <t xml:space="preserve"> 14.10</t>
  </si>
  <si>
    <t>JANELA DE ALUMÍNIO DE CORRER COM 2 FOLHAS PARA VIDROS, COM VIDROS, BATENTE, ACABAMENTO COM ACETATO OU BRILHANTE E FERRAGENS. EXCLUSIVE ALIZAR E CONTRAMARCO. FORNECIMENTO E INSTALAÇÃO. AF_12/2019</t>
  </si>
  <si>
    <t xml:space="preserve"> 14.11</t>
  </si>
  <si>
    <t>JANELA DE ALUMÍNIO DE CORRER COM 4 FOLHAS PARA VIDROS, COM VIDROS, BATENTE, ACABAMENTO COM ACETATO OU BRILHANTE E FERRAGENS. EXCLUSIVE ALIZAR E CONTRAMARCO. FORNECIMENTO E INSTALAÇÃO. AF_12/2019</t>
  </si>
  <si>
    <t xml:space="preserve"> 14.12</t>
  </si>
  <si>
    <t>JANELA FIXA DE ALUMÍNIO PARA VIDRO, COM VIDRO, BATENTE E FERRAGENS. EXCLUSIVE ACABAMENTO, ALIZAR E CONTRAMARCO. FORNECIMENTO E INSTALAÇÃO. AF_12/2019</t>
  </si>
  <si>
    <t xml:space="preserve"> 14.13</t>
  </si>
  <si>
    <t>CONTRAMARCO DE ALUMÍNIO, FIXAÇÃO COM ARGAMASSA - FORNECIMENTO E INSTALAÇÃO. AF_12/2019</t>
  </si>
  <si>
    <t xml:space="preserve"> 14.14</t>
  </si>
  <si>
    <t>PORTA CORTA-FOGO 90X210X4CM - FORNECIMENTO E INSTALAÇÃO. AF_12/2019</t>
  </si>
  <si>
    <t xml:space="preserve"> 14.15</t>
  </si>
  <si>
    <t>PORTA CORTA FOGO, DE ABRIR, 02 FOLHAS, EM CHAPA DE AÇO GALVANIZADO nº24, BATENTE EM CHAPA nº18, CLASSE 90, ISOLANTE EM MANTA CERÂMICA INCOMBUSTIVEL e=5cm, DOBRADIÇAS TIPO HELICOILDAL EM AÇO 1010/1020, E FECHADURA REVERSÍVEL SEM CHAVE</t>
  </si>
  <si>
    <t xml:space="preserve"> 14.16</t>
  </si>
  <si>
    <t>PORTA DE ALUMÍNIO DE ABRIR COM LAMBRI, COM GUARNIÇÃO, FIXAÇÃO COM PARAFUSOS - FORNECIMENTO E INSTALAÇÃO. AF_12/2019</t>
  </si>
  <si>
    <t xml:space="preserve"> 14.17</t>
  </si>
  <si>
    <t>PORTA EM ALUMÍNIO DE ABRIR TIPO VENEZIANA COM GUARNIÇÃO, FIXAÇÃO COM PARAFUSOS - FORNECIMENTO E INSTALAÇÃO. AF_12/2019</t>
  </si>
  <si>
    <t xml:space="preserve"> 14.18</t>
  </si>
  <si>
    <t>KIT DE PORTA-PRONTA DE MADEIRA EM ACABAMENTO MELAMÍNICO BRANCO, FOLHA LEVE OU MÉDIA, 60X210CM, EXCLUSIVE FECHADURA, FIXAÇÃO COM PREENCHIMENTO PARCIAL DE ESPUMA EXPANSIVA - FORNECIMENTO E INSTALAÇÃO. AF_12/2019</t>
  </si>
  <si>
    <t xml:space="preserve"> 14.19</t>
  </si>
  <si>
    <t>KIT DE PORTA-PRONTA DE MADEIRA EM ACABAMENTO MELAMÍNICO BRANCO, FOLHA LEVE OU MÉDIA, 70X210CM, EXCLUSIVE FECHADURA, FIXAÇÃO COM PREENCHIMENTO PARCIAL DE ESPUMA EXPANSIVA - FORNECIMENTO E INSTALAÇÃO. AF_12/2019</t>
  </si>
  <si>
    <t xml:space="preserve"> 14.20</t>
  </si>
  <si>
    <t>KIT DE PORTA-PRONTA DE MADEIRA EM ACABAMENTO MELAMÍNICO BRANCO, FOLHA LEVE OU MÉDIA, 80X210CM, EXCLUSIVE FECHADURA, FIXAÇÃO COM PREENCHIMENTO PARCIAL DE ESPUMA EXPANSIVA - FORNECIMENTO E INSTALAÇÃO. AF_12/2019</t>
  </si>
  <si>
    <t xml:space="preserve"> 14.21</t>
  </si>
  <si>
    <t>KIT DE PORTA-PRONTA DE MADEIRA EM ACABAMENTO MELAMÍNICO BRANCO, FOLHA PESADA OU SUPERPESADA, 90X210CM, FIXAÇÃO COM PREENCHIMENTO TOTAL DE ESPUMA EXPANSIVA - FORNECIMENTO E INSTALAÇÃO. AF_12/2019</t>
  </si>
  <si>
    <t xml:space="preserve"> 16.9</t>
  </si>
  <si>
    <t xml:space="preserve"> 16.10</t>
  </si>
  <si>
    <t xml:space="preserve"> 16.11</t>
  </si>
  <si>
    <t xml:space="preserve"> 16.12</t>
  </si>
  <si>
    <t>BANCADA DE GRANITO CINZA POLIDO, DE 1,30 X 0,60 M, COM 02 CUBAS DE EMBUTIR OVAL EM LOUÇA BRANCA - FORNECIMENTO E INSTALAÇÃO. AF_01/2020</t>
  </si>
  <si>
    <t xml:space="preserve"> 16.13</t>
  </si>
  <si>
    <t>BANCADA DE GRANITO CINZA POLIDO, DE 2,20 X 0,60 M, COM 03 CUBAS DE EMBUTIR OVAL EM LOUÇA BRANCA - FORNECIMENTO E INSTALAÇÃO. AF_01/2020</t>
  </si>
  <si>
    <t xml:space="preserve"> 17.1.28 </t>
  </si>
  <si>
    <t>CALHA DE DRENAGEM EM ALVENARIA/CONCRETO, CHAPISCADA E REBOCADA, SEM IMPERMEABILIZAÇÃO, INLCUSIVE ESCAVAÇÃO MANUAL  E GRELHA</t>
  </si>
  <si>
    <t xml:space="preserve"> 17.2.8</t>
  </si>
  <si>
    <t>REGISTRO DE PRESSÃO BRUTO, LATÃO, ROSCÁVEL, 3/4", COM ACABAMENTO E CANOPLA CROMADOS - FORNECIMENTO E INSTALAÇÃO. AF_08/2021</t>
  </si>
  <si>
    <t xml:space="preserve"> 17.2.9</t>
  </si>
  <si>
    <t xml:space="preserve"> 17.3.14 </t>
  </si>
  <si>
    <t>RALO SECO CÔNICO, PVC, DN 100 X 40 MM, JUNTA SOLDÁVEL, FORNECIDO E INSTALADO EM RAMAL DE DESCARGA OU EM RAMAL DE ESGOTO SANITÁRIO. AF_08/2022</t>
  </si>
  <si>
    <t xml:space="preserve"> 18.3.30</t>
  </si>
  <si>
    <t xml:space="preserve">DISPOSITIVO DE PROTEÇÃO CONTRA SURTO DE TENSÃO DPS 20kA </t>
  </si>
  <si>
    <t xml:space="preserve"> 18.3.31</t>
  </si>
  <si>
    <t>DISJUNTOR TERMOMAGNÉTICO TRIPOLAR 350 A, PADRÃO DIN, 65KA</t>
  </si>
  <si>
    <t xml:space="preserve"> 18.3.32</t>
  </si>
  <si>
    <t>DISJUNTOR MONOPOLAR 6A, PADRÃO DIN, CURVA DE DISPARO C</t>
  </si>
  <si>
    <t xml:space="preserve"> 18.3.33</t>
  </si>
  <si>
    <t>DISJUNTOR TRIPOLAR TIPO DIN, CORRENTE NOMINAL DE 16A - FORNECIMENTO E INSTALAÇÃO. AF_10/2020</t>
  </si>
  <si>
    <t xml:space="preserve"> 18.4.8 </t>
  </si>
  <si>
    <t xml:space="preserve"> 18.4.9</t>
  </si>
  <si>
    <t>CABO DE COBRE FLEXÍVEL ISOLADO, 6 MM², ANTI-CHAMA 0,6/1,0 KV, PARA CIRCUITOS TERMINAIS - FORNECIMENTO E INSTALAÇÃO. AF_03/2023</t>
  </si>
  <si>
    <t xml:space="preserve"> 18.4.10</t>
  </si>
  <si>
    <t>CABO DE COBRE FLEXÍVEL ISOLADO, 10 MM², ANTI-CHAMA 0,6/1,0 KV, PARA CIRCUITOS TERMINAIS - FORNECIMENTO E INSTALAÇÃO. AF_03/2023</t>
  </si>
  <si>
    <t xml:space="preserve"> 18.4.11</t>
  </si>
  <si>
    <t>CABO DE COBRE FLEXÍVEL ISOLADO, 16 MM², ANTI-CHAMA 0,6/1,0 KV, PARA CIRCUITOS TERMINAIS - FORNECIMENTO E INSTALAÇÃO. AF_03/2023</t>
  </si>
  <si>
    <t xml:space="preserve"> 18.4.12</t>
  </si>
  <si>
    <t>CABO DE COBRE FLEXÍVEL ISOLADO, 25 MM², ANTI-CHAMA 0,6/1,0 KV, PARA REDE ENTERRADA DE DISTRIBUIÇÃO DE ENERGIA ELÉTRICA - FORNECIMENTO E INSTALAÇÃO. AF_12/2021</t>
  </si>
  <si>
    <t xml:space="preserve"> 24.1.14</t>
  </si>
  <si>
    <t>DEMOLIÇÃO DE PISO EM CERÂMICA OU LADRILHO SEM APROVEITAMENTO</t>
  </si>
  <si>
    <t xml:space="preserve"> 24.2.11</t>
  </si>
  <si>
    <t>ARMAÇÃO DO SISTEMA DE PAREDES EM ALVENARIA, EXECUTADO NA PLATIBANDA</t>
  </si>
  <si>
    <t xml:space="preserve"> 24.2.12</t>
  </si>
  <si>
    <t>CS2</t>
  </si>
  <si>
    <t>J3</t>
  </si>
  <si>
    <t>J4</t>
  </si>
  <si>
    <t>J5</t>
  </si>
  <si>
    <t>J6</t>
  </si>
  <si>
    <t>J7</t>
  </si>
  <si>
    <t>J1</t>
  </si>
  <si>
    <t>J2</t>
  </si>
  <si>
    <t>8.2.1</t>
  </si>
  <si>
    <t>Total de eletroduto de PVC rigido executado (m)=</t>
  </si>
  <si>
    <t>Total de eletroduto de PVC rigido de contrato (m)=</t>
  </si>
  <si>
    <t>Comprimento em projeto de climatização executado (m) =</t>
  </si>
  <si>
    <t>Studio</t>
  </si>
  <si>
    <t>9.1.6</t>
  </si>
  <si>
    <t>Total de  chapisco aplicado no teto de contrato (m²)=</t>
  </si>
  <si>
    <t>Nível +21,20m a +24,00m</t>
  </si>
  <si>
    <t>Rampa do estacionamento 02</t>
  </si>
  <si>
    <t>Memória de cálculo do item 9.2.1 =</t>
  </si>
  <si>
    <t>Total  de impermeabilização com manta asfáltica de contrato (m²) =</t>
  </si>
  <si>
    <t>Total de impermeabilização com manta asfáltica executado (m²) =</t>
  </si>
  <si>
    <t>16.12</t>
  </si>
  <si>
    <t>Total  de bancada de granito cinza de contrato (und) =</t>
  </si>
  <si>
    <t>16.13</t>
  </si>
  <si>
    <t>Total de bancada de granito cinza executado (und) =</t>
  </si>
  <si>
    <t>Total  de bancada de granito cinza medido até o BM 21 (und) =</t>
  </si>
  <si>
    <t>Total de bancada de granito cinza a medir no BM 22 (und) =</t>
  </si>
  <si>
    <t>17.1</t>
  </si>
  <si>
    <t>17.2.2</t>
  </si>
  <si>
    <t>Casarão (subsolo e térreo)</t>
  </si>
  <si>
    <t>Wc feminino e masculino (subsolo e térreo)</t>
  </si>
  <si>
    <t>Copa (subsolo e térreo)</t>
  </si>
  <si>
    <t>Vestiário feminino e masculino</t>
  </si>
  <si>
    <t>Prédio Principal</t>
  </si>
  <si>
    <t>Total de ponto de consumo terminal de água fria executado (und)=</t>
  </si>
  <si>
    <t>Total de ponto de consumo terminal de água fria de contrato (und)=</t>
  </si>
  <si>
    <t>17.3.11</t>
  </si>
  <si>
    <t>17.3.14</t>
  </si>
  <si>
    <t>Total de ponto de consumo terminal de água fria medido até o BM 21 (und)=</t>
  </si>
  <si>
    <t>Total de ponto de consumo terminal de água fria a medir no BM 22 (und)=</t>
  </si>
  <si>
    <t>Total de pontos de esgoto primario a medir no BM 22 (und)=</t>
  </si>
  <si>
    <t>Total de  pontos de esgoto primario  executado (und) =</t>
  </si>
  <si>
    <t>Total de  pontos de esgoto primario de contrato (und) =</t>
  </si>
  <si>
    <t>Total de ralo seco de contrato (und) =</t>
  </si>
  <si>
    <t>Total de  pontos de esgoto primario medido até o BM 21 (und) =</t>
  </si>
  <si>
    <t>Total de ralo seco executado (und) =</t>
  </si>
  <si>
    <t>Total de ralo seco medido até o BM 21 (und) =</t>
  </si>
  <si>
    <t>Total de ralo seco à medir no BM 22 (und) =</t>
  </si>
  <si>
    <t>Comprimento especificado em projeto de instalações elétricas (m) =</t>
  </si>
  <si>
    <t>24.2</t>
  </si>
  <si>
    <t>24.2.11</t>
  </si>
  <si>
    <t>Platibanda do casarão</t>
  </si>
  <si>
    <t>Total de armação do sistema de paredes de contrato (m²)=</t>
  </si>
  <si>
    <t>24.2.12</t>
  </si>
  <si>
    <t>Peso Total (kg)</t>
  </si>
  <si>
    <t>casarão (estimativa)</t>
  </si>
  <si>
    <t>Total de armação de pilar ou vigade aço CA-50 10,0mm de contrato (kg)=</t>
  </si>
  <si>
    <t>RESTAURO - EXECUÇÃO DE ORNATO COM COFECÇÃO DE MOLDE E FORMA - 02 USOS</t>
  </si>
  <si>
    <t>Total de restauro - execução de ornato de contrato (m²)=</t>
  </si>
  <si>
    <t>Total de armação do sistema de paredes executado (m²)=</t>
  </si>
  <si>
    <t>Total de armação de pilar ou viga de aço CA-50 10,0mm executado (kg)=</t>
  </si>
  <si>
    <t>Total de armação de pilar ou viga de aço CA-50 10,0mm de contrato (kg)=</t>
  </si>
  <si>
    <t>MEDIÇÃO 23</t>
  </si>
  <si>
    <t>PERÍODO DA MEDIÇÃO: 01//2025 À 30/09/2025</t>
  </si>
  <si>
    <t>PERÍODO DA MEDIÇÃO: 01/10/2025 À 31/10/2025</t>
  </si>
  <si>
    <t>RESUMO DA MEMÓRIA DE CÁLCULO DO BM 23</t>
  </si>
  <si>
    <t>Total de aministração de obra medido até o BM 22 (und) =</t>
  </si>
  <si>
    <t>Total de aministração de obra a medir no BM 23 (und) =</t>
  </si>
  <si>
    <t>MEMORIAL DE CÁLCULO DO BM 23</t>
  </si>
  <si>
    <t>Total de parede com placas de gesso acartonado a executar/executado (m²)=</t>
  </si>
  <si>
    <t>Total de parede com placas de gesso acartonado de contrato (m²)=</t>
  </si>
  <si>
    <t>Total de parede com placas de gesso acartonado medido até o BM 22 (m²)=</t>
  </si>
  <si>
    <t>Total de parede com placas de gesso acartonado a medir no BM 23 (m²)=</t>
  </si>
  <si>
    <t>Mesanino</t>
  </si>
  <si>
    <t>1º pavimento</t>
  </si>
  <si>
    <t>2º pavimento</t>
  </si>
  <si>
    <t>3º pavimento</t>
  </si>
  <si>
    <t>4º pavimento</t>
  </si>
  <si>
    <t>Total de parede com placas de gesso acartonado a aditar (m²)=</t>
  </si>
  <si>
    <t>Total de parede com placas de gesso acartonado medido até o BM 22 (m²) =</t>
  </si>
  <si>
    <t>Total de parede com placas de gesso acartonado à medir no BM 23 (m²) =</t>
  </si>
  <si>
    <t>Total de parede com placas de gesso acartonado à aditar (m²) =</t>
  </si>
  <si>
    <t>Imprensa (vidro duplo)</t>
  </si>
  <si>
    <t>Auditório (térreo)</t>
  </si>
  <si>
    <t>Hall (mesanino)</t>
  </si>
  <si>
    <t>Convidados (mesanino)</t>
  </si>
  <si>
    <t>Auditório (mesanino)</t>
  </si>
  <si>
    <t>Total de divisória em vidro temperado 10mm executado (m)=</t>
  </si>
  <si>
    <t>Total de divisória em vidro temperado 10mm de contrato (m)=</t>
  </si>
  <si>
    <t>Total de divisória em vidro temperado 10mm medido até o BM 22 (m)=</t>
  </si>
  <si>
    <t>Total de divisória em vidro temperado 10mm a medir no BM 23 (m)=</t>
  </si>
  <si>
    <t>Total de divisória em vidro temperado medido até o BM 22 (m²)=</t>
  </si>
  <si>
    <t>Total de divisória em vidro temperado a medir no BM 23 (m²)=</t>
  </si>
  <si>
    <t>Total de divisória sanitária medido até o BM 22 (m²)=</t>
  </si>
  <si>
    <t>Total de divisória sanitária a medir no BM 23 (m²)=</t>
  </si>
  <si>
    <t>Vestiários (fem. E masc.)</t>
  </si>
  <si>
    <t>Wc fem 01</t>
  </si>
  <si>
    <t>Wc masc 01</t>
  </si>
  <si>
    <t>Wc masc 02</t>
  </si>
  <si>
    <t>Total de divisória sanitária, tipo cabine, em granito executado (m)=</t>
  </si>
  <si>
    <t>Total de divisória sanitária, tipo cabine, em granito de contrato (m)=</t>
  </si>
  <si>
    <t>Total de divisória sanitária, tipo cabine, em granito medido até o BM 22 (m)=</t>
  </si>
  <si>
    <t>Total de divisória sanitária, tipo cabine, em granito a medir no BM 23 (m)=</t>
  </si>
  <si>
    <t>Quantidade de cola utillizado na montagem  da rede (kg) =</t>
  </si>
  <si>
    <t>Total de cola para tubos e mantas executado (kg)=</t>
  </si>
  <si>
    <t>Total de cola para tubos e mantas de contrato (kg)=</t>
  </si>
  <si>
    <t>Total de cola para tubos e mantas medido no BM 22 (kg)=</t>
  </si>
  <si>
    <t>Total de cola para tubos e mantas a medir no BM 23 (kg)=</t>
  </si>
  <si>
    <t>Total de eletroduto de PVC rigido medido até o BM 22 (m)=</t>
  </si>
  <si>
    <t>Total de eletroduto de PVC rigido a medir no BM 23 (m)=</t>
  </si>
  <si>
    <t>Total de cola para tubos e mantas executado (l)=</t>
  </si>
  <si>
    <t>Total de cola para tubos e mantas de contrato (l)=</t>
  </si>
  <si>
    <t>Total de  cola para tubos e mantas medido até o BM 22 (l)=</t>
  </si>
  <si>
    <t>Total de  cola para tubos e mantas a medir no BM 23 (l)=</t>
  </si>
  <si>
    <t>Total de  rodapé em poliestireno executado (m)=</t>
  </si>
  <si>
    <t>Total de   rodapé em poliestireno medido até o BM 22 (m)=</t>
  </si>
  <si>
    <t>Total de  rodapé em poliestireno a medir no BM 23 (m)=</t>
  </si>
  <si>
    <t>Total de chapisco aplicado no teto a executado (m²)=</t>
  </si>
  <si>
    <t>Total de  chapisco aplicado no teto medido até o BM 22 (m²)=</t>
  </si>
  <si>
    <t>Total de chapisco aplicado no teto a medir no BM 23 (m²)=</t>
  </si>
  <si>
    <t>Total de  rodapé em poliestireno medido até o BM 22 (m)=</t>
  </si>
  <si>
    <t>Total de rodapé em poliestireno a medir no BM 23 (m)=</t>
  </si>
  <si>
    <t>Total de emboço ou massa única em argamassa executado (m²)=</t>
  </si>
  <si>
    <t>Total de emboço ou massa única em argamassa medido até o BM 22 (m²)=</t>
  </si>
  <si>
    <t>Total de emboço ou massa única em argamassa a medir no BM 23 (m²)=</t>
  </si>
  <si>
    <t>Total de chapisco aplicado em alvenaria medido até o BM 22 (m²)=</t>
  </si>
  <si>
    <t>Total de chapisco aplicado a medir no BM 23 (m²)=</t>
  </si>
  <si>
    <t>Total de área de emboço ou massa única até o BM 22 (m²) =</t>
  </si>
  <si>
    <t>Total de área de emboço ou massa única à medir no BM 23 (m²) =</t>
  </si>
  <si>
    <t>Total de área de chapisco aplicado até o BM 22 (m²) =</t>
  </si>
  <si>
    <t>Total de área de chapisco aplicado à medir no BM 23 (m²) =</t>
  </si>
  <si>
    <t>Total de painel de lã de vidro até o BM 22 (m²) =</t>
  </si>
  <si>
    <t>Total de painel de lã de vidro à medir no BM 23 (m²) =</t>
  </si>
  <si>
    <t>Memória de cálculo do item 6.2 =</t>
  </si>
  <si>
    <t>Área de parede (m²)</t>
  </si>
  <si>
    <t>Total de painel de lã de vidro executado (m²)=</t>
  </si>
  <si>
    <t>Total de de painel de lã de vidro de contrato (m²)=</t>
  </si>
  <si>
    <t>Total de de painel de lã de vidro medido até o BM 22 (m²)=</t>
  </si>
  <si>
    <t>Total de de painel de lã de vidro a medir no BM 23 (m²)=</t>
  </si>
  <si>
    <t>Total de de painel de lã de vidro a aditar (m²)=</t>
  </si>
  <si>
    <t>Cobertura</t>
  </si>
  <si>
    <t>11.2</t>
  </si>
  <si>
    <t>Cintas no subsolo - CI1</t>
  </si>
  <si>
    <t>Cintas no subsolo - CI2</t>
  </si>
  <si>
    <t>Cintas no subsolo - CI3</t>
  </si>
  <si>
    <t>Jardineira</t>
  </si>
  <si>
    <t>Total de área de impermeabilização de superfície com emulsão asfáltica de contrato (m²)=</t>
  </si>
  <si>
    <t>Total  de  impermeabilização com manta asfáltica medido até o BM 22 (m²) =</t>
  </si>
  <si>
    <t>Total  de  impermeabilização com manta asfáltica a medir no BM 23 (m²) =</t>
  </si>
  <si>
    <t>Total de área de impermeabilização de superfície com emulsão asfáltica executado (m²)=</t>
  </si>
  <si>
    <t>Total de área de impermeabilização de superfície com emulsão asfáltica a medir no BM 23  (m²)=</t>
  </si>
  <si>
    <t>Total de área de impermeabilização de superfície com emulsão asfáltica medido até o BM 22 (m²)=</t>
  </si>
  <si>
    <t>Total de impermeabilização com manta asfáltica medido até o BM 22 (m²)=</t>
  </si>
  <si>
    <t>Total de impermeabilização com manta asfáltica a medir no BM 23 (m²)=</t>
  </si>
  <si>
    <t>11.3</t>
  </si>
  <si>
    <t>Térreo (casarão)</t>
  </si>
  <si>
    <t>Total de impermeabilização de superfície com argamassa polimérica executado (m²)=</t>
  </si>
  <si>
    <t>Total de impermeabilização com argamassa polimérica de contrato (m²)=</t>
  </si>
  <si>
    <t>Poços dos elevadores</t>
  </si>
  <si>
    <t>Total de impermeabilização com argamassa polimérica medido até o BM 22 (m²)=</t>
  </si>
  <si>
    <t>Total de impermeabilização com argamassa polimérica a medir no BM 23 (m²)=</t>
  </si>
  <si>
    <t>wcs</t>
  </si>
  <si>
    <t>Total de reparo/colagem de estruturas de concreto medido até o BM 22 (m²)=</t>
  </si>
  <si>
    <t>Total de reparo/colagem de estruturas de concreto a medir no BM 23 (m²)=</t>
  </si>
  <si>
    <t>Total de icontrapiso em argamassa medido até o BM 22 (m²)=</t>
  </si>
  <si>
    <t>Total de contrapiso em argamassa a medir no BM 23 (m²)=</t>
  </si>
  <si>
    <t>Total de área do item 11.1 (2x) (m²)=</t>
  </si>
  <si>
    <t>Total de contrapiso em argamassa a aditar (m²)=</t>
  </si>
  <si>
    <t>Total de contrapiso em argamassa medido até o BM 22 (m²)=</t>
  </si>
  <si>
    <t>Total de piso elevado medido até o BM 22 (m²) =</t>
  </si>
  <si>
    <t>Total de piso elevado a medir no BM 23 (m²) =</t>
  </si>
  <si>
    <t>Foi considerado a compra do material</t>
  </si>
  <si>
    <t>Total de piso vinílico semi-flexivel executado (m²) =</t>
  </si>
  <si>
    <t>Total de piso vinílico semi-flexivel de contrato (m²) =</t>
  </si>
  <si>
    <t>Total de piso vinílico semi-flexivel medido até o BM 20 (m²) =</t>
  </si>
  <si>
    <t>Total de rpiso vinílico semi-flexivel a medir no BM 21 (m²) =</t>
  </si>
  <si>
    <t xml:space="preserve">Wc feminino </t>
  </si>
  <si>
    <t>Pavimento Tipo 01 e 02</t>
  </si>
  <si>
    <t>Wc deficiente</t>
  </si>
  <si>
    <t>Total de revestimento cerâmico de piso de contrato (m²) =</t>
  </si>
  <si>
    <t>Área Total</t>
  </si>
  <si>
    <t>Hall externo de entrada e circulação externa</t>
  </si>
  <si>
    <t>Total de piso em granito aplicado em calçadas comprado (m²) =</t>
  </si>
  <si>
    <t>Total de piso em granito aplicado em calçadas medido até o BM 19 (m²) =</t>
  </si>
  <si>
    <t>Total de piso em granito aplicado em calçadas a medir no BM 20 (m²) =</t>
  </si>
  <si>
    <t>Aessoria 1, 2 e 3</t>
  </si>
  <si>
    <t>Presidencia</t>
  </si>
  <si>
    <t>Circulação + Hall</t>
  </si>
  <si>
    <t>Poço dos eslevadores</t>
  </si>
  <si>
    <t>Vestiários fem. E masc.</t>
  </si>
  <si>
    <t>Substação</t>
  </si>
  <si>
    <t>Terraço</t>
  </si>
  <si>
    <t>Térreo (setor 1)</t>
  </si>
  <si>
    <t>Cordenação LEG</t>
  </si>
  <si>
    <t>NTI</t>
  </si>
  <si>
    <t>Recepção + monitoramento</t>
  </si>
  <si>
    <t>Rampa pedestre</t>
  </si>
  <si>
    <t>Térreo (setor 2)</t>
  </si>
  <si>
    <t>Circulação do plenário</t>
  </si>
  <si>
    <t>Imprensa + áudio</t>
  </si>
  <si>
    <t>Circulação da escada do auditório</t>
  </si>
  <si>
    <t>Circulação externa do auditório + rampas</t>
  </si>
  <si>
    <t>Café externo</t>
  </si>
  <si>
    <t>Escadaria externa</t>
  </si>
  <si>
    <t>Mezanino (setor 1)</t>
  </si>
  <si>
    <t>Estudio</t>
  </si>
  <si>
    <t>Sala de gravação</t>
  </si>
  <si>
    <t>Hall + Área de gravação</t>
  </si>
  <si>
    <t>Escada 01</t>
  </si>
  <si>
    <t>Escada 02</t>
  </si>
  <si>
    <t>Comissão</t>
  </si>
  <si>
    <t>Administrativo</t>
  </si>
  <si>
    <t>Hall dos wcs</t>
  </si>
  <si>
    <t>Sala</t>
  </si>
  <si>
    <t>Anti-câmara + hall da escada</t>
  </si>
  <si>
    <t>Secretaria</t>
  </si>
  <si>
    <t>Sala de acessor</t>
  </si>
  <si>
    <t>Sala de vereador</t>
  </si>
  <si>
    <t>Anti-sala</t>
  </si>
  <si>
    <t>Escadas</t>
  </si>
  <si>
    <t>Total</t>
  </si>
  <si>
    <t>Circulação do wcs 01</t>
  </si>
  <si>
    <t>Área de segurança</t>
  </si>
  <si>
    <t>Total de piso em granito comprado (m²) =</t>
  </si>
  <si>
    <t>Total de piso em granito de contrato (m²) =</t>
  </si>
  <si>
    <t>Área de piso elevado</t>
  </si>
  <si>
    <t>Total de piso em granito medido até o BM 22 (m²) =</t>
  </si>
  <si>
    <t>Total de piso em granito a medir no BM 23 (m²) =</t>
  </si>
  <si>
    <t>Wc fem. E masc. Publico</t>
  </si>
  <si>
    <t>Total de revestimento cerâmico de piso medido até o BM 22 (m²) =</t>
  </si>
  <si>
    <t>Total de revestimento cerâmico de piso medido até o BM 23 (m²) =</t>
  </si>
  <si>
    <t>Total de revestimento cerâmico para piso até o BM 22 (m²) =</t>
  </si>
  <si>
    <t>Total de área de revestimento cerâmico para piso à medir no BM 23 (m²) =</t>
  </si>
  <si>
    <t>Total de piso em granito aplicado em ambientes internos até o BM 22 (m²) =</t>
  </si>
  <si>
    <t>Total de área piso em granito aplicado em ambientes internos à medir no BM 23 (m²) =</t>
  </si>
  <si>
    <t>14.0</t>
  </si>
  <si>
    <t>14.2</t>
  </si>
  <si>
    <t>Local (P11)</t>
  </si>
  <si>
    <t>Circulação Presidência</t>
  </si>
  <si>
    <t>Circulação Casarão</t>
  </si>
  <si>
    <t>Total  de porta de vidro 90x210cm de contrato (und) =</t>
  </si>
  <si>
    <t>14.3</t>
  </si>
  <si>
    <t>14.5</t>
  </si>
  <si>
    <t>14.10</t>
  </si>
  <si>
    <t>Total de janela de correr de alumínio de contrato (m²) =</t>
  </si>
  <si>
    <t>14.11</t>
  </si>
  <si>
    <t>J8</t>
  </si>
  <si>
    <t>J9</t>
  </si>
  <si>
    <t>14.12</t>
  </si>
  <si>
    <t>Total de janela fixa de alumínio a executar/executado (m²) =</t>
  </si>
  <si>
    <t>Total de janela fixa de alumínio de contrato (m²) =</t>
  </si>
  <si>
    <t>14.13</t>
  </si>
  <si>
    <t>J10</t>
  </si>
  <si>
    <t>Total de contramarco de alumínio de contrato (m) =</t>
  </si>
  <si>
    <t>14.14</t>
  </si>
  <si>
    <t>PORTA CORTA FOGO, 0,90 x 2,10, DE ABRIR, EM CHAPA DE AÇO GALVANIZADO nº24, BATENTE EM CHAPA nº18, CLASSE 90, ISOLANTE EM MANTA CERÂMICA INCOBUSTIVEL e=5cm, DOBRADIÇAS TIPO HELICOIDAL EM AÇO 1010/1020, E FECHADURA REVERSIVEL SEM CHAVE</t>
  </si>
  <si>
    <t>Local (P5)</t>
  </si>
  <si>
    <t>1º e 2º Pavimento</t>
  </si>
  <si>
    <t>3º e 4º Pavimento</t>
  </si>
  <si>
    <t>Total de portas corta fogo 0,90x2,10m de contrato (und) =</t>
  </si>
  <si>
    <t>14.15</t>
  </si>
  <si>
    <t>Área de segurança (P7)</t>
  </si>
  <si>
    <t>Hall (P6)</t>
  </si>
  <si>
    <t>!º Pavimento</t>
  </si>
  <si>
    <t>Hall (P7)</t>
  </si>
  <si>
    <t>Escada (P8)</t>
  </si>
  <si>
    <t>Total de portas corta fogo de contrato (m²) =</t>
  </si>
  <si>
    <t>14.17</t>
  </si>
  <si>
    <t>Cobertura (J10)</t>
  </si>
  <si>
    <t>Poço dos elevadores</t>
  </si>
  <si>
    <t>Total de portas tipo veneziana de contrato (m²) =</t>
  </si>
  <si>
    <t>14.18</t>
  </si>
  <si>
    <t>P01</t>
  </si>
  <si>
    <t>Total de kit portas 60x210cm de contrato (und) =</t>
  </si>
  <si>
    <t>14.19</t>
  </si>
  <si>
    <t>P02</t>
  </si>
  <si>
    <t>Total de kit portas 70x210cm de contrato (und) =</t>
  </si>
  <si>
    <t>14.20</t>
  </si>
  <si>
    <t>P03</t>
  </si>
  <si>
    <t>Total de kit portas 80x210cm de contrato (und) =</t>
  </si>
  <si>
    <t>14.21</t>
  </si>
  <si>
    <t>P04</t>
  </si>
  <si>
    <t>Total de kit portas 90x210cm de contrato (und) =</t>
  </si>
  <si>
    <t>Total de janela de correr de alumínio executado (m²) =</t>
  </si>
  <si>
    <t>Total de janela correr de alumínio medido até o BM 22 (m²) =</t>
  </si>
  <si>
    <t>Total de janela correr de alumínio a medir no BM 23 (m²) =</t>
  </si>
  <si>
    <t>Total de janela de correr de alumínio medido até o BM  22 (m²) =</t>
  </si>
  <si>
    <t>Total de janela de correr de alumínio a medir no BM 23 (m²) =</t>
  </si>
  <si>
    <t>Total de janela fixa de alumínio executado (m²) =</t>
  </si>
  <si>
    <t>Total de janela fixa de alumínio medido até o BM 22 (m²) =</t>
  </si>
  <si>
    <t>Total de janela fixa de alumínio a medir no BM 23 (m²) =</t>
  </si>
  <si>
    <t>Total de contramarco de alumínio executado (m) =</t>
  </si>
  <si>
    <t>Total de contramarco de alumínio medido até o BM 22 (m) =</t>
  </si>
  <si>
    <t>Total de contramarco de alumínio a medir no BM 23 (m) =</t>
  </si>
  <si>
    <t>Total de portas corta fogo 0,90x2,10m executado (und) =</t>
  </si>
  <si>
    <t>Total de portas corta fogo 0,90x2,10m medido até o BM 22 (und) =</t>
  </si>
  <si>
    <t>Total de portas corta fogo 0,90x2,10m a medir no BM 23 (und) =</t>
  </si>
  <si>
    <t>Total de portas corta fogo executado (m²) =</t>
  </si>
  <si>
    <t>Total de portas corta fogo medido até o BM 22 (m²) =</t>
  </si>
  <si>
    <t>Total de portas corta fogo a medir no BM 23 (m²) =</t>
  </si>
  <si>
    <t>Total de portas tipo veneziana executado (m²) =</t>
  </si>
  <si>
    <t>Total de portas tipo veneziana medido até o BM 22 (m²) =</t>
  </si>
  <si>
    <t>Total de portas tipo veneziana a medir no BM 23 (m²) =</t>
  </si>
  <si>
    <t>Total de kit portas 60x210cm a executado (und) =</t>
  </si>
  <si>
    <t>Total de kit portas 60x210m medido até o BM 22 (und) =</t>
  </si>
  <si>
    <t>Total de kit portas 60x210cm a medir no BM 23 (und) =</t>
  </si>
  <si>
    <t>Total de kit portas 70x210cm executado (und) =</t>
  </si>
  <si>
    <t>Total de kit portas 70x210cm medido até o BM 22 (und) =</t>
  </si>
  <si>
    <t>Total de kit portas 70x210cm a medir no BM 23 (und) =</t>
  </si>
  <si>
    <t>Total de kit portas 80x210cm executado (und) =</t>
  </si>
  <si>
    <t>Total de kit portas 80x210cm medido até o BM 22 (und) =</t>
  </si>
  <si>
    <t>Total de kit portas 80x210cm a medir no BM 23 (und) =</t>
  </si>
  <si>
    <t>Total de kit portas 90x210cm executado (und) =</t>
  </si>
  <si>
    <t>Total de kit portas 90x210cm medido até o BM 22 (und) =</t>
  </si>
  <si>
    <t>Total de kit portas 90x210cm a medir no BM 23 (und) =</t>
  </si>
  <si>
    <t>Total de porta de vidro 90x210cm executado (und) =</t>
  </si>
  <si>
    <t>Total  de porta de vidro 90x210cm medido até o BM 22 (und) =</t>
  </si>
  <si>
    <t>Total  de porta de vidro 90x210cm a medir no BM 23 (und) =</t>
  </si>
  <si>
    <t>Total de cortina de vidro medido até o BM 22 (m²)=</t>
  </si>
  <si>
    <t>Total de cortina de vidro a medir no BM 23 (m²)=</t>
  </si>
  <si>
    <t>14.1</t>
  </si>
  <si>
    <t>Total de porta de correr de vidro temperado a executar/executado (und) =</t>
  </si>
  <si>
    <t>Total de porta de correr de vidro temperado de contrato (und) =</t>
  </si>
  <si>
    <t>Total de porta de vidro temperado a aditar (und) =</t>
  </si>
  <si>
    <t>Total de porta de abrir com mola hidráulica a executar/executado (und) =</t>
  </si>
  <si>
    <t>Total de porta de abrir com mola hidráulica de contrato (und) =</t>
  </si>
  <si>
    <t>Total de porta de abrir com mola hidráulica a aditar (und) =</t>
  </si>
  <si>
    <t>Total de box em vidro laminado 8mm a executar/executado (und) =</t>
  </si>
  <si>
    <t>Total de box em vidro laminado 8mm de contrato (und) =</t>
  </si>
  <si>
    <t>Total de box de vidro laminado a aditar (und) =</t>
  </si>
  <si>
    <t>Total de portas corta fogo 2 folhas de contrato (m²) =</t>
  </si>
  <si>
    <t>Total de portas de alumínio tipo veneziana de contrato (m²) =</t>
  </si>
  <si>
    <t>Total de  Kit porta-pronta de madeira de contrato (und) =</t>
  </si>
  <si>
    <t>Total de porta de abrir com mola hidráulica executado (und) =</t>
  </si>
  <si>
    <t>Total de porta de abrir com mola hidráulica medido até o BM 22 (und) =</t>
  </si>
  <si>
    <t>Total de porta de abrir com mola hidráulica a medir no BM 23 (und) =</t>
  </si>
  <si>
    <t>17.1.13</t>
  </si>
  <si>
    <t>Total de instalação de tubos pvc, soldável, água fria, DN 25mm (m)=</t>
  </si>
  <si>
    <t>17.1.19</t>
  </si>
  <si>
    <t>Total de caixa enterrada hidráulica retangular (und)=</t>
  </si>
  <si>
    <t>Total de caixa enterrada hidráulica retangular executado (und)=</t>
  </si>
  <si>
    <t>Total de caixa enterrada hidráulica retangular de contrato (und)=</t>
  </si>
  <si>
    <t>Total de caixa enterrada hidráulica retangular medido até  o BM 22 (und)=</t>
  </si>
  <si>
    <t>Total de caixa enterrada hidráulica retangular a medir no BM 23 (und)=</t>
  </si>
  <si>
    <t>Total de instalação de tubos pvc, soldável, água fria, DN 25mm executado (m)=</t>
  </si>
  <si>
    <t>Total de instalação de tubos pvc, soldável, água fria, DN 25mm de contrato (m)=</t>
  </si>
  <si>
    <t>Total de instalação de tubos pvc, soldável, água fria, DN 25mm medido até  o BM 22 (m)=</t>
  </si>
  <si>
    <t>Total de instalação de tubos pvc, soldável, água fria, DN 25mm a medir no BM 23 (m)=</t>
  </si>
  <si>
    <t>l de instalação de tubos pvc, soldável, água fria, DN 25mm medido até  o BM 22 (m)=</t>
  </si>
  <si>
    <t>Total de portas corta fogo 0,90x2,10m medido até o  BM 22 (und) =</t>
  </si>
  <si>
    <t>Total de portas corta fogo 2 folhas executado (m²) =</t>
  </si>
  <si>
    <t>Total de portas corta fogo 2 folhas medido até o BM 22 (m²) =</t>
  </si>
  <si>
    <t>Total de portas corta fogo 2 folhas a medir no BM 23 (m²) =</t>
  </si>
  <si>
    <t>Total de portas de alumínio tipo veneziana executado (m²) =</t>
  </si>
  <si>
    <t>Total de portas de alumínio tipo veneziana medido até o BM 22 (m²) =</t>
  </si>
  <si>
    <t>Total de portas de alumínio tipo veneziana a medir no BM 23 (m²) =</t>
  </si>
  <si>
    <t>Total de Kit porta-pronta de madeira executado (und) =</t>
  </si>
  <si>
    <t>Total de  Kit porta-pronta de madeira medido até o BM 22 (und) =</t>
  </si>
  <si>
    <t>Total de  Kit porta-pronta de madeira a medir no BM 23 (und) =</t>
  </si>
  <si>
    <t>Total de  Kit porta-pronta de madeira medido até o Bm 22 (und) =</t>
  </si>
  <si>
    <t>17.2.1</t>
  </si>
  <si>
    <t>Total de ligação predial de água (und)=</t>
  </si>
  <si>
    <t>Total de ligação predial de água executado (und)=</t>
  </si>
  <si>
    <t>Total de ligação predial de água de contrato (und)=</t>
  </si>
  <si>
    <t>Total de ligação predial de água medido até  o BM 22 (und)=</t>
  </si>
  <si>
    <t>Total de ligação predial de água a medir no BM 23 (und)=</t>
  </si>
  <si>
    <t>17.2.3</t>
  </si>
  <si>
    <t>Total de serviço de instalação tubos PVC, soldável, água fria (m)=</t>
  </si>
  <si>
    <t>Total de serviço de instalação tubos PVC, soldável, água fria executado (m)=</t>
  </si>
  <si>
    <t>Total de serviço de instalação tubos PVC, soldável, água fria de contrato (m)=</t>
  </si>
  <si>
    <t>17.2.4</t>
  </si>
  <si>
    <t>17.2.5</t>
  </si>
  <si>
    <t>Total de serviço de instalação tubos PVC, soldável, água fria medido até o BM 22 (m)=</t>
  </si>
  <si>
    <t>Total de serviço de instalação tubos PVC, soldável, água fria a medir no BM 23 (m)=</t>
  </si>
  <si>
    <t>Total de serviço de instalação tubos PVC, soldável, água fria a medir no BM 23 (und)=</t>
  </si>
  <si>
    <t>Quantidade de disjuntores especificada nos diagramas unifilares de projeto de instalações elétricas (und) =</t>
  </si>
  <si>
    <t>Total de disjuntores tripolar 20A de contrato (und)=</t>
  </si>
  <si>
    <t>18.3.4</t>
  </si>
  <si>
    <t>Total de disjuntores tripolar 25A de contrato (und)=</t>
  </si>
  <si>
    <t>18.3.6</t>
  </si>
  <si>
    <t>Total de disjuntores tripolar 32A de contrato (und)=</t>
  </si>
  <si>
    <t>18.3.7</t>
  </si>
  <si>
    <t>Total de disjuntores tripolar 40A de contrato (und)=</t>
  </si>
  <si>
    <t>18.3.19</t>
  </si>
  <si>
    <t>Total de disjuntores monopolar 10A de contrato (und)=</t>
  </si>
  <si>
    <t>18.3.20</t>
  </si>
  <si>
    <t>Total de disjuntores monopolar 16A de contrato (und)=</t>
  </si>
  <si>
    <t>18.3.21</t>
  </si>
  <si>
    <t>Total de disjuntores monopolar 20A de contrato (und)=</t>
  </si>
  <si>
    <t>18.3.22</t>
  </si>
  <si>
    <t>Total de disjuntores monopolar 25A de contrato (und)=</t>
  </si>
  <si>
    <t>18.3.24</t>
  </si>
  <si>
    <t>Total de disjuntores monopolar 40A de contrato (und)=</t>
  </si>
  <si>
    <t>18.3.25</t>
  </si>
  <si>
    <t>Total de disjuntores tripolar 60A até 100A de contrato (und)=</t>
  </si>
  <si>
    <t>18.3.27</t>
  </si>
  <si>
    <t>Quantidade de dispositivo DR especificada nos diagramas unifilares de projeto de instalações elétricas (und) =</t>
  </si>
  <si>
    <t>Total de dispositivo DR de contrato (und)=</t>
  </si>
  <si>
    <t>18.3.28</t>
  </si>
  <si>
    <t>Quantidade de instalação de disjuntor especificada nos diagramas unifilares de projeto de instalações elétricas (und) =</t>
  </si>
  <si>
    <t>Total de instalação de disjuntor de contrato (und)=</t>
  </si>
  <si>
    <t>18.3.29</t>
  </si>
  <si>
    <t>18.3.30</t>
  </si>
  <si>
    <t>Quantidade de dispositivo de proteção especificada nos diagramas unifilares de projeto de instalações elétricas (und) =</t>
  </si>
  <si>
    <t>Total de dispositivo de proteção de contrato (und)=</t>
  </si>
  <si>
    <t>18.3.32</t>
  </si>
  <si>
    <t>Quantidade de disjuntor monopolar 6A especificada nos diagramas unifilares de projeto de instalações elétricas (und) =</t>
  </si>
  <si>
    <t>Total de disjuntor monopolar 6A de contrato (und)=</t>
  </si>
  <si>
    <t>18.3.33</t>
  </si>
  <si>
    <t>DISJUNTOR TRIPOLAR 16A, PADRÃO DIN</t>
  </si>
  <si>
    <t>Quantidade de disjuntor tripolar 16A especificada nos diagramas unifilares de projeto de instalações elétricas (und) =</t>
  </si>
  <si>
    <t>Total de disjuntor tripolar 16A de contrato (und)=</t>
  </si>
  <si>
    <t>Total de disjuntores tripolar 20A executado (und)=</t>
  </si>
  <si>
    <t>Total de disjuntores tripolar 20A medido até o BM 22 (und)=</t>
  </si>
  <si>
    <t>Total de disjuntores tripolar 20A a medir no BM 23 (und)=</t>
  </si>
  <si>
    <t>Total de disjuntores tripolar 25A medido até o BM 22 (und)=</t>
  </si>
  <si>
    <t>Total de disjuntores tripolar 25A a medir no BM 23 (und)=</t>
  </si>
  <si>
    <t>Total de disjuntores tripolar 25A executado (und)=</t>
  </si>
  <si>
    <t>Total de disjuntores tripolar 32A executado (und)=</t>
  </si>
  <si>
    <t>Total de disjuntores tripolar 32A medido até o BM 22 (und)=</t>
  </si>
  <si>
    <t>Total de disjuntores tripolar 32A a medir no BM 23 (und)=</t>
  </si>
  <si>
    <t>Total de disjuntores tripolar 40A executado (und)=</t>
  </si>
  <si>
    <t>Total de disjuntores tripolar 40A medido até o BM 22 (und)=</t>
  </si>
  <si>
    <t>Total de disjuntores tripolar 40A a medir no BM 23 (und)=</t>
  </si>
  <si>
    <t>18.3.10</t>
  </si>
  <si>
    <t>Total de disjuntores tipo nema, tripolar 60 até 100A executado (und)=</t>
  </si>
  <si>
    <t>Total de disjuntores  tipo nema, tripolar 60 até 100A de contrato (und)=</t>
  </si>
  <si>
    <t>Total de disjuntores  tipo nema, tripolar 60 até 100A medido até o BM 22 (und)=</t>
  </si>
  <si>
    <t>Total de disjuntores  tipo nema, tripolar 60 até 100A a medir no BM 23 (und)=</t>
  </si>
  <si>
    <t>Total de disjuntores monopolar 10A executado (und)=</t>
  </si>
  <si>
    <t>Total de disjuntores monopolar 10A medido até o BM 22 (und)=</t>
  </si>
  <si>
    <t>Total de disjuntores monopolar 10A a medir no BM 23 (und)=</t>
  </si>
  <si>
    <t>Total de disjuntores monopolar 16A executado (und)=</t>
  </si>
  <si>
    <t>Total de disjuntores monopolar 16A medido até o BM 22 (und)=</t>
  </si>
  <si>
    <t>Total de disjuntores monopolar 16A a medir no BM 23 (und)=</t>
  </si>
  <si>
    <t>Total de disjuntores monopolar 20A executado (und)=</t>
  </si>
  <si>
    <t>Total de disjuntores monopolar 20A medido até o BM 22 (und)=</t>
  </si>
  <si>
    <t>Total de disjuntores monopolar 20A a medir no BM 23 (und)=</t>
  </si>
  <si>
    <t>Total de disjuntores monopolar 25A medido até o BM 22 (und)=</t>
  </si>
  <si>
    <t>Total de disjuntores monopolar 25A a medir no BM 23 (und)=</t>
  </si>
  <si>
    <t>Total de disjuntores monopolar 25A executado (und)=</t>
  </si>
  <si>
    <t>Total de disjuntores monopolar 40A executado (und)=</t>
  </si>
  <si>
    <t>Total de disjuntores monopolar 40A medido até o BM 22 (und)=</t>
  </si>
  <si>
    <t>Total de disjuntores monopolar 40A a medir no BM 23 (und)=</t>
  </si>
  <si>
    <t>Total de disjuntores tripolar 60A até 100A executado (und)=</t>
  </si>
  <si>
    <t>Total de disjuntores tripolar 60A até 100A medido até o BM 22 (und)=</t>
  </si>
  <si>
    <t>Total de disjuntores tripolar 60A até 100A a medir no BM 23 (und)=</t>
  </si>
  <si>
    <t>Total de dispositivo DR executado (und)=</t>
  </si>
  <si>
    <t>Total de dispositivo DR a medido até o BM 22 (und)=</t>
  </si>
  <si>
    <t>Total de dispositivo DR a medir no BM 23 (und)=</t>
  </si>
  <si>
    <t>Total de instalação de disjuntor executado (und)=</t>
  </si>
  <si>
    <t>Total de instalação de disjuntor medido até o BM 22 (und)=</t>
  </si>
  <si>
    <t>Total de instalação de disjuntor a medir no BM 23 (und)=</t>
  </si>
  <si>
    <t>Total de dispositivo de proteção executado (und)=</t>
  </si>
  <si>
    <t>Total de dispositivo de proteção medido até o BM 22 (und)=</t>
  </si>
  <si>
    <t>Total de dispositivo de proteção a medir no BM 23 (und)=</t>
  </si>
  <si>
    <t>Total de disjuntor monopolar 6A executado (und)=</t>
  </si>
  <si>
    <t>Total de disjuntor monopolar 6A medido até o BM 22 (und)=</t>
  </si>
  <si>
    <t>Total de disjuntor monopolar 6A a medir no BM 23 (und)=</t>
  </si>
  <si>
    <t>Total de disjuntor tripolar 16A executado (und)=</t>
  </si>
  <si>
    <t>Total de disjuntor tripolar 16A medido atée o BM 22 (und)=</t>
  </si>
  <si>
    <t>Total de disjuntor tripolar 16A a medir no BM  23 (und)=</t>
  </si>
  <si>
    <t>Total de cabo de cobre flexível isolado, 95mm² a executar/executado (m)=</t>
  </si>
  <si>
    <t>Total de cabo de cobre flexível isolado, 95mm² de contrato (m)=</t>
  </si>
  <si>
    <t>Total de cabo de cobre flexível isolado, 120mm² a executar/executado (m)=</t>
  </si>
  <si>
    <t>Total de cabo de cobre flexível isolado, 120mm² de contrato (m)=</t>
  </si>
  <si>
    <t>Total de cabo de cobre flexível isolado, 95mm² executado (m)=</t>
  </si>
  <si>
    <t>Total de cabo de cobre flexível isolado, 95mm² medido até o BM 22 (m)=</t>
  </si>
  <si>
    <t>Total de cabo de cobre flexível isolado, 95mm² a medir no BM 23 (m)=</t>
  </si>
  <si>
    <t>Total de cabo de cobre flexível isolado, 120mm² executado (m)=</t>
  </si>
  <si>
    <t>Total de cabo de cobre flexível isolado, 120mm² medido até o BM 22 (m)=</t>
  </si>
  <si>
    <t>Total de cabo de cobre flexível isolado, 120mm² a medir no BM 23 (m)=</t>
  </si>
  <si>
    <t>18.4.12</t>
  </si>
  <si>
    <t>Total de cabo de cobre flexível isolado, 25mm² de contrato (m)=</t>
  </si>
  <si>
    <t>Total de cabo de cobre flexível isolado, 25mm² executado (m)=</t>
  </si>
  <si>
    <t>Total de cabo de cobre flexível isolado, 25mm² medido até o BM 22 (m)=</t>
  </si>
  <si>
    <t>Total de cabo de cobre flexível isolado, 25mm² a medir no BM 23 (m)=</t>
  </si>
  <si>
    <t>Total de disjuntores monopolar tipo DIN, 10A de contrato (und)=</t>
  </si>
  <si>
    <t>Total de disjuntores monopolar tipo DIN, 16A de contrato (und)=</t>
  </si>
  <si>
    <t>Total de disjuntores monopolar tipo DIN, 20A de contrato (und)=</t>
  </si>
  <si>
    <t>Total de disjuntores monopolar tipo DIN, 25A de contrato (und)=</t>
  </si>
  <si>
    <t>Total de disjuntores monopolar tipo DIN, 40A de contrato (und)=</t>
  </si>
  <si>
    <t>Total de dispositivo DR, 2 polos, 25A  de contrato (und)=</t>
  </si>
  <si>
    <t>Total de instalação de disjuntor  de contrato (und)=</t>
  </si>
  <si>
    <t>Total de disjuntores monopolar tipo DIN, 10A executado (und)=</t>
  </si>
  <si>
    <t>Total de disjuntores monopolar tipo DIN, 10A medido até o BM 22 (und)=</t>
  </si>
  <si>
    <t>Total de disjuntores monopolar tipo DIN, 10A a medir no BM 23 (und)=</t>
  </si>
  <si>
    <t>Total de disjuntores monopolar tipo DIN, 16A executado (und)=</t>
  </si>
  <si>
    <t>Total de disjuntores monopolar tipo DIN, 16A medido até o BM 22 (und)=</t>
  </si>
  <si>
    <t>Total de disjuntores monopolar tipo DIN, 16A a medir no BM 23 (und)=</t>
  </si>
  <si>
    <t>Total de disjuntores monopolar tipo DIN, 20A executado (und)=</t>
  </si>
  <si>
    <t>Total de disjuntores monopolar tipo DIN, 20A medido até o BM 22 (und)=</t>
  </si>
  <si>
    <t>Total de disjuntores monopolar tipo DIN, 20A a medir no BM 23 (und)=</t>
  </si>
  <si>
    <t>Total de disjuntores monopolar tipo DIN, 25A executado (und)=</t>
  </si>
  <si>
    <t>Total de disjuntores monopolar tipo DIN, 25A medido até o BM 22 (und)=</t>
  </si>
  <si>
    <t>Total de disjuntores monopolar tipo DIN, 25A a medir no BM 23 (und)=</t>
  </si>
  <si>
    <t>Total de disjuntores monopolar tipo DIN, 40A executado (und)=</t>
  </si>
  <si>
    <t>Total de disjuntores monopolar tipo DIN, 40A medido até o BM 22 (und)=</t>
  </si>
  <si>
    <t>Total de disjuntores monopolar tipo DIN, 40A a medir no BM 23 (und)=</t>
  </si>
  <si>
    <t>Total de dispositivo DR, 2 polos, 25A executado (und)=</t>
  </si>
  <si>
    <t>Total de dispositivo DR, 2 polos, 25A medido até o BM 22 (und)=</t>
  </si>
  <si>
    <t>Total de dispositivo DR, 2 polos, 25A  a medir no BM 23 (und)=</t>
  </si>
  <si>
    <t>Total de instalação de disjuntor  medido até o BM 22 (und)=</t>
  </si>
  <si>
    <t>Total de instalação de disjuntor  a medir no BM 23 (und)=</t>
  </si>
  <si>
    <t>Total de disjuntor monopolar 6A a medir  no BM 23 (und)=</t>
  </si>
  <si>
    <t>Total de disjuntor tripolar 16A medido até o BM 22 (und)=</t>
  </si>
  <si>
    <t>Total de disjuntor tripolar 16A a medir no BM 23 (und)=</t>
  </si>
  <si>
    <t>Total de cabo de cobre flexível isolado, 120mm² a medir no BBm  23 (m)=</t>
  </si>
  <si>
    <t>Área de Óculos do casarão (17und)</t>
  </si>
  <si>
    <t>Área dos ornatos do terraço do casarão</t>
  </si>
  <si>
    <t>Área dos ornatos das janelas e portas (19und)</t>
  </si>
  <si>
    <t>Total de restauro - execução de ornato executado (m²)=</t>
  </si>
  <si>
    <t>Total de restauro - execução de ornato medido até o BM 22 (m²)=</t>
  </si>
  <si>
    <t>Total de restauro - execução de ornato a medir noo BM 23 (m²)=</t>
  </si>
  <si>
    <t>Total de armação do sistema de paredes medido até o BM 22 (m²)=</t>
  </si>
  <si>
    <t>Total de armação do sistema de paredes a medir no BM  23 (m²)=</t>
  </si>
  <si>
    <t>Total de armação de pilar ou viga de aço CA-50 10,0mm medido até o BM 22 (kg)=</t>
  </si>
  <si>
    <t>Total de armação de pilar ou viga de aço CA-50 10,0mm a medir no BM 23 (kg)=</t>
  </si>
  <si>
    <t>123,,4</t>
  </si>
  <si>
    <t>24.5.3</t>
  </si>
  <si>
    <t>24.5.3.1</t>
  </si>
  <si>
    <t>Casarão 01</t>
  </si>
  <si>
    <t>Total de aplicação manual de fundo selador executado (m²)=</t>
  </si>
  <si>
    <t>Total de aplicação manual de fundo selador de contrato (m²)=</t>
  </si>
  <si>
    <t>Total de aplicação manual de fundo selador medido até o BM 22 (m²)=</t>
  </si>
  <si>
    <t>Total de aplicação manual de fundo selador a medir noo BM 23 (m²)=</t>
  </si>
  <si>
    <t>24.5.3.2</t>
  </si>
  <si>
    <t>Total de aplicação manual de massa acrílica medido até o BM 22 (m²)=</t>
  </si>
  <si>
    <t>Total de aplicação manual de massa acrílica a medir noo BM 23 (m²)=</t>
  </si>
  <si>
    <t>Total de armação do sistema de paredes a medir no BM 23 (m²)=</t>
  </si>
  <si>
    <t>Total de armação de pilar ou viga de aço CA-50 10,0mm medido até o BM 23 (kg)=</t>
  </si>
  <si>
    <t>Total de restauro - execução de ornato a medir no BM 23 (m²)=</t>
  </si>
  <si>
    <t>23.0</t>
  </si>
  <si>
    <t>23.1</t>
  </si>
  <si>
    <t>Comprimento de cabo de fibra optica de projeto (m) =</t>
  </si>
  <si>
    <t xml:space="preserve">                             </t>
  </si>
  <si>
    <t>23.1.2</t>
  </si>
  <si>
    <t>Comprimento de cabo  de fibra optica (m) =</t>
  </si>
  <si>
    <t>Total de cabo  de fibra optica executada (m)=</t>
  </si>
  <si>
    <t>Total de cabo  de fibra optica contrato (m)=</t>
  </si>
  <si>
    <t>Total de cabo  de fibra optica medido até o BM 22 (m)=</t>
  </si>
  <si>
    <t>Total de cabo  de fibra optica a medir no BM 23 (m)=</t>
  </si>
  <si>
    <t>21.0</t>
  </si>
  <si>
    <t>21.3</t>
  </si>
  <si>
    <t>Total de corrimão em tubo de aço 1" executado (m)=</t>
  </si>
  <si>
    <t>Total de corrimão em tubo de aço 1" contrato (m)=</t>
  </si>
  <si>
    <t>Total de corrimão em tubo de aço 1" medido até o BM 22 (m)=</t>
  </si>
  <si>
    <t>Total de corrimão em tubo de aço 1" a medir no BM 23 (m)=</t>
  </si>
  <si>
    <t>24.2.3</t>
  </si>
  <si>
    <t>Fundação do café</t>
  </si>
  <si>
    <t>Peso (kg)</t>
  </si>
  <si>
    <t>Total (kg)</t>
  </si>
  <si>
    <t>24.2.4</t>
  </si>
  <si>
    <t>Volume (m³)</t>
  </si>
  <si>
    <t>Total (m³)</t>
  </si>
  <si>
    <t>Total de armação de bloco executado (kg)=</t>
  </si>
  <si>
    <t>Total de armação de bloco de contrato (kg)=</t>
  </si>
  <si>
    <t>Total de armação de bloco medido até o BM 22 (kg)=</t>
  </si>
  <si>
    <t>Total de armação do sistema de paredes a medir no BM  23 (kg)=</t>
  </si>
  <si>
    <t>Total de concretagem de sapatas executado (m³)=</t>
  </si>
  <si>
    <t>Total de concretagem de sapatas medido até o BM 22 (m³)=</t>
  </si>
  <si>
    <t>Total de concretagem de sapatas de contrato (m³)=</t>
  </si>
  <si>
    <t>Total de concretagem de sapatas a medir no BM  23 (m³)=</t>
  </si>
  <si>
    <t>Parede do casarão</t>
  </si>
  <si>
    <t>Total de concretagem de sapatas a aditar (m³)=</t>
  </si>
  <si>
    <t>Total de armação de bloco a medir no BM 23 (kg)=</t>
  </si>
  <si>
    <t>20.14</t>
  </si>
  <si>
    <t>Total de de detectores de fumaça executado (und)=</t>
  </si>
  <si>
    <t>Total de de detectores de fumaça de contrato (und)=</t>
  </si>
  <si>
    <t>Total de detectores de fumaça medido até o BM 22 (und)=</t>
  </si>
  <si>
    <t>Total de detectores de fumaça a medir no BM 23 (und)=</t>
  </si>
  <si>
    <t>Casarão (térreo)</t>
  </si>
  <si>
    <t>Casarão (subsolo)</t>
  </si>
  <si>
    <t xml:space="preserve">Mesanino </t>
  </si>
  <si>
    <t xml:space="preserve">1º pavimento </t>
  </si>
  <si>
    <t>Total de ponto elétrico de iluminação executado (und)=</t>
  </si>
  <si>
    <t>Total de ponto elétrico de iluminação de contrato (und)=</t>
  </si>
  <si>
    <t>Total de ponto elétrico de tomada de uso geral 2P+T (10A/250V) executado (und)=</t>
  </si>
  <si>
    <t>Total de ponto elétrico de iluminação medido até o BM 22 (und)=</t>
  </si>
  <si>
    <t>Total de ponto elétrico de iluminação a medir no BM 23 (und)=</t>
  </si>
  <si>
    <t>Total de ponto elétrico de tomada de uso geral 2P+T (10A/250V) medido até o BM 22 (und)=</t>
  </si>
  <si>
    <t>Total de ponto elétrico de tomada de uso geral 2P+T (10A/250V) a medir no BM 23 (und)=</t>
  </si>
  <si>
    <t>Total de ponto elétrico de tomada de contrato (und)=</t>
  </si>
  <si>
    <t>Total de ponto elétrico de iluminação medido  até o BM 22 (und) =</t>
  </si>
  <si>
    <t>Total de  ponto elétrico de iluminação  à medir no BM 23 (und) =</t>
  </si>
  <si>
    <t>Total de ponto elétrico de tomada de uso geral 2P+T (10A/250V)  medido  até o BM 22 (und) =</t>
  </si>
  <si>
    <t>Total de ponto elétrico de tomada de uso geral 2P+T (10A/250V) à medir no BM 23 (und) =</t>
  </si>
  <si>
    <t>2° Pavimento</t>
  </si>
  <si>
    <t>3° Pavimento</t>
  </si>
  <si>
    <t>4° Pavimento</t>
  </si>
  <si>
    <t>Total de pintura látex acrílica premium de contrato (m²)=</t>
  </si>
  <si>
    <t>Fachada Leste</t>
  </si>
  <si>
    <t>Fachada Norte</t>
  </si>
  <si>
    <t>Fachada Sul</t>
  </si>
  <si>
    <t>Fachada Oeste</t>
  </si>
  <si>
    <t>Total de fundo selador acrílico medido até o BM 22 (m²)=</t>
  </si>
  <si>
    <t>Total de fundo selador acrílico a medir no BM 23 (m²)=</t>
  </si>
  <si>
    <t>Total de aplicação manual de massa acrílica a medir no BM 23 (m²)=</t>
  </si>
  <si>
    <t>Total de aplicação manual de pintura com tinta medido até o BM 22 (m²)=</t>
  </si>
  <si>
    <t>Total de aplicação manual de pintura com tinta a medir no BM 23 (m²)=</t>
  </si>
  <si>
    <t xml:space="preserve"> 24.4.8</t>
  </si>
  <si>
    <t>Espessura (m)</t>
  </si>
  <si>
    <t>Platibanda e paredes</t>
  </si>
  <si>
    <t>Cintas</t>
  </si>
  <si>
    <t>Total de grauteamento de cinta intermediária medido até o BM 22 (m³)=</t>
  </si>
  <si>
    <t>Total de grauteamento de cinta intermediária a medir no BM 23 (m³)=</t>
  </si>
  <si>
    <t>Pilares do terraço</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</si>
  <si>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</si>
  <si>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</si>
  <si>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</si>
  <si>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</si>
  <si>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Peso total de fornecimento e montagem de estrutura metálica medido até o BM 17 (kg)=</t>
  </si>
  <si>
    <t>Peso total de fornecimento e montagem de estrutura metálica a medir no BM 18 (kg)=</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</si>
  <si>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</si>
  <si>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</si>
  <si>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</si>
  <si>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</si>
  <si>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</si>
  <si>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</si>
  <si>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</si>
  <si>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</si>
  <si>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</si>
  <si>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</si>
  <si>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</si>
  <si>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</si>
  <si>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</si>
  <si>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</si>
  <si>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</si>
  <si>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</si>
  <si>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</si>
  <si>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</si>
  <si>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</si>
  <si>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</si>
  <si>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</si>
  <si>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</si>
  <si>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</si>
  <si>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</si>
  <si>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</si>
  <si>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</si>
  <si>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</si>
  <si>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executado (kg) =</t>
  </si>
  <si>
    <t>Total de armação de pilar ou viga de contrato (kg) =</t>
  </si>
  <si>
    <t>Total de armação de pilar ou viga medido até o BM 14 (kg) =</t>
  </si>
  <si>
    <t>Total de armação de pilar ou viga a medir no BM 15 (kg) =</t>
  </si>
  <si>
    <t>Total de armação de pilar ou viga a aditar (kg) =</t>
  </si>
  <si>
    <t>ARMAÇÃO DE PILAR OU VIGA DE ESTRUTURA CONVENCIONAL DE CONCRETO ARMADO UTILIZANDO AÇO CA-50 DE 8,0 MM - MONTAGEM. AF_06/2022</t>
  </si>
  <si>
    <t>CI7 - nível +4,50 - Prancha 33</t>
  </si>
  <si>
    <t>Vigas do jardim, acabamento de portas e áreas externas</t>
  </si>
  <si>
    <t>Pilares PA17 (prancha 56)</t>
  </si>
  <si>
    <t>Pilares do jardim, acabamento de portas e áreas externas</t>
  </si>
  <si>
    <t>Fachadas</t>
  </si>
  <si>
    <t>Total de tratamento de junta de dilatação executado (m) =</t>
  </si>
  <si>
    <t>Total de tratamento de junta de dilatação de contrato (m) =</t>
  </si>
  <si>
    <t>Total de armação de laje medido até o BM 22 (m) =</t>
  </si>
  <si>
    <t>Total de armação de laje a medir no BM 23 (m) =</t>
  </si>
  <si>
    <t>7.2</t>
  </si>
  <si>
    <t>Piso de concreto</t>
  </si>
  <si>
    <t>Total de impermeabilização de junta de dilatação executado (m) =</t>
  </si>
  <si>
    <t>Total de impermeabilização de junta de dilatação de contrato (m) =</t>
  </si>
  <si>
    <t>Total de impermeabilização de junta de dilatação medido até o BM 22 (m) =</t>
  </si>
  <si>
    <t>Total de impermeabilização de junta de dilatação a medir no BM 23 (m) =</t>
  </si>
  <si>
    <t>Total de tratamento de junta de dilatação a medir no BM 23 (m)=</t>
  </si>
  <si>
    <t>Total de tratamento de junta de dilatação medido até o BM 22 (m)=</t>
  </si>
  <si>
    <t>Total de área de contrapiso em argamassa até o BM 22 (m²) =</t>
  </si>
  <si>
    <t>Total de área de contrapiso em argamassa à medir no BM 23 (m²)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</si>
</sst>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1"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
      <b/>
      <sz val="10"/>
      <color theme="9" tint="-0.499984740745262"/>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0" tint="-4.9989318521683403E-2"/>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style="thin">
        <color rgb="FFCCCCCC"/>
      </top>
      <bottom style="thin">
        <color indexed="64"/>
      </bottom>
      <diagonal/>
    </border>
    <border>
      <left style="thin">
        <color rgb="FFCCCCCC"/>
      </left>
      <right style="thin">
        <color rgb="FFCCCCCC"/>
      </right>
      <top style="thin">
        <color rgb="FFCCCCCC"/>
      </top>
      <bottom style="thin">
        <color indexed="64"/>
      </bottom>
      <diagonal/>
    </border>
    <border>
      <left style="thin">
        <color rgb="FFCCCCCC"/>
      </left>
      <right style="thin">
        <color indexed="64"/>
      </right>
      <top style="thin">
        <color rgb="FFCCCCCC"/>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345">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4" xfId="1" applyFont="1" applyBorder="1" applyAlignment="1">
      <alignment horizontal="center" vertical="top"/>
    </xf>
    <xf numFmtId="0" fontId="13" fillId="0" borderId="15" xfId="1" applyFont="1" applyBorder="1" applyAlignment="1">
      <alignment horizontal="center" vertical="top"/>
    </xf>
    <xf numFmtId="0" fontId="13" fillId="0" borderId="16" xfId="1" applyFont="1" applyBorder="1" applyAlignment="1">
      <alignment horizontal="left" vertical="top"/>
    </xf>
    <xf numFmtId="0" fontId="14" fillId="0" borderId="0" xfId="1" applyAlignment="1">
      <alignment horizontal="left" vertical="top"/>
    </xf>
    <xf numFmtId="0" fontId="13" fillId="0" borderId="17" xfId="1" applyFont="1" applyBorder="1" applyAlignment="1">
      <alignment horizontal="center" vertical="top"/>
    </xf>
    <xf numFmtId="0" fontId="13" fillId="0" borderId="0" xfId="1" applyFont="1" applyAlignment="1">
      <alignment horizontal="center" vertical="top"/>
    </xf>
    <xf numFmtId="0" fontId="13" fillId="0" borderId="18" xfId="1" applyFont="1" applyBorder="1" applyAlignment="1">
      <alignment horizontal="left" vertical="top"/>
    </xf>
    <xf numFmtId="0" fontId="15" fillId="0" borderId="17"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8" xfId="1" applyFont="1" applyBorder="1" applyAlignment="1">
      <alignment horizontal="left" vertical="center"/>
    </xf>
    <xf numFmtId="0" fontId="13" fillId="0" borderId="17"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4"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2"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2" xfId="1" applyFont="1" applyBorder="1" applyAlignment="1">
      <alignment horizontal="left" vertical="top"/>
    </xf>
    <xf numFmtId="0" fontId="13" fillId="0" borderId="17" xfId="1" applyFont="1" applyBorder="1" applyAlignment="1">
      <alignment horizontal="right" vertical="top"/>
    </xf>
    <xf numFmtId="0" fontId="13" fillId="0" borderId="18"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3" xfId="1" applyFont="1" applyBorder="1" applyAlignment="1">
      <alignment horizontal="center" vertical="top"/>
    </xf>
    <xf numFmtId="0" fontId="13" fillId="0" borderId="25"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3"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34" xfId="1" applyFont="1" applyBorder="1" applyAlignment="1">
      <alignment horizontal="left" vertical="center"/>
    </xf>
    <xf numFmtId="2" fontId="13" fillId="0" borderId="33"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3" xfId="1" applyFont="1" applyBorder="1" applyAlignment="1">
      <alignment horizontal="right" vertical="top"/>
    </xf>
    <xf numFmtId="0" fontId="13" fillId="0" borderId="24" xfId="1" applyFont="1" applyBorder="1" applyAlignment="1">
      <alignment horizontal="right" vertical="top"/>
    </xf>
    <xf numFmtId="0" fontId="13" fillId="0" borderId="25"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0" fontId="13" fillId="0" borderId="31" xfId="1" applyFont="1" applyBorder="1" applyAlignment="1">
      <alignment horizontal="left" vertical="top"/>
    </xf>
    <xf numFmtId="0" fontId="13" fillId="0" borderId="22"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0" fontId="13" fillId="0" borderId="0" xfId="1" applyFont="1" applyAlignment="1">
      <alignment horizontal="right" vertical="top"/>
    </xf>
    <xf numFmtId="2" fontId="12" fillId="0" borderId="6" xfId="1" applyNumberFormat="1" applyFont="1" applyBorder="1" applyAlignment="1">
      <alignment vertical="center"/>
    </xf>
    <xf numFmtId="2" fontId="12" fillId="0" borderId="6" xfId="1" applyNumberFormat="1" applyFont="1" applyBorder="1" applyAlignment="1">
      <alignment vertical="top"/>
    </xf>
    <xf numFmtId="2" fontId="13" fillId="0" borderId="5" xfId="1" applyNumberFormat="1" applyFont="1" applyBorder="1" applyAlignment="1">
      <alignment vertical="top"/>
    </xf>
    <xf numFmtId="2" fontId="4" fillId="0" borderId="6" xfId="1" applyNumberFormat="1" applyFont="1" applyBorder="1" applyAlignment="1">
      <alignment horizontal="right" vertical="center"/>
    </xf>
    <xf numFmtId="0" fontId="13" fillId="0" borderId="24" xfId="1" applyFont="1" applyBorder="1" applyAlignment="1">
      <alignment vertical="top"/>
    </xf>
    <xf numFmtId="2" fontId="13" fillId="0" borderId="25" xfId="1" applyNumberFormat="1" applyFont="1" applyBorder="1" applyAlignment="1">
      <alignment vertical="top"/>
    </xf>
    <xf numFmtId="0" fontId="11" fillId="5" borderId="40" xfId="0" applyFont="1" applyFill="1" applyBorder="1" applyAlignment="1">
      <alignment horizontal="left" vertical="center" wrapText="1"/>
    </xf>
    <xf numFmtId="43" fontId="11" fillId="5" borderId="41" xfId="0" applyNumberFormat="1" applyFont="1" applyFill="1" applyBorder="1" applyAlignment="1">
      <alignment horizontal="right" vertical="center" wrapText="1"/>
    </xf>
    <xf numFmtId="0" fontId="13" fillId="0" borderId="42" xfId="0" applyFont="1" applyBorder="1" applyAlignment="1">
      <alignment horizontal="left" vertical="center" wrapText="1"/>
    </xf>
    <xf numFmtId="43" fontId="13" fillId="0" borderId="43" xfId="0" applyNumberFormat="1" applyFont="1" applyBorder="1" applyAlignment="1">
      <alignment horizontal="right" vertical="center" wrapText="1"/>
    </xf>
    <xf numFmtId="0" fontId="11" fillId="5" borderId="42" xfId="0" applyFont="1" applyFill="1" applyBorder="1" applyAlignment="1">
      <alignment horizontal="left" vertical="center" wrapText="1"/>
    </xf>
    <xf numFmtId="43" fontId="11" fillId="5" borderId="43" xfId="0" applyNumberFormat="1" applyFont="1" applyFill="1" applyBorder="1" applyAlignment="1">
      <alignment horizontal="right" vertical="center" wrapText="1"/>
    </xf>
    <xf numFmtId="0" fontId="7" fillId="0" borderId="42" xfId="0" applyFont="1" applyBorder="1" applyAlignment="1">
      <alignment horizontal="left" vertical="center" wrapText="1"/>
    </xf>
    <xf numFmtId="0" fontId="13" fillId="0" borderId="4" xfId="1" applyFont="1" applyBorder="1" applyAlignment="1">
      <alignment horizontal="left" vertical="center"/>
    </xf>
    <xf numFmtId="2" fontId="13" fillId="0" borderId="33" xfId="1" applyNumberFormat="1" applyFont="1" applyBorder="1" applyAlignment="1">
      <alignment horizontal="center" vertical="center"/>
    </xf>
    <xf numFmtId="2" fontId="13" fillId="0" borderId="5" xfId="1" quotePrefix="1" applyNumberFormat="1" applyFont="1" applyBorder="1" applyAlignment="1">
      <alignment horizontal="right" vertical="center" wrapText="1"/>
    </xf>
    <xf numFmtId="0" fontId="13" fillId="0" borderId="4" xfId="1" applyFont="1" applyBorder="1" applyAlignment="1">
      <alignment vertical="center"/>
    </xf>
    <xf numFmtId="0" fontId="13" fillId="0" borderId="30" xfId="1" applyFont="1" applyBorder="1" applyAlignment="1">
      <alignment horizontal="left" vertical="center"/>
    </xf>
    <xf numFmtId="0" fontId="13" fillId="0" borderId="17" xfId="1" applyFont="1" applyBorder="1" applyAlignment="1">
      <alignment horizontal="left" vertical="center" wrapText="1"/>
    </xf>
    <xf numFmtId="2" fontId="13" fillId="0" borderId="6" xfId="1" applyNumberFormat="1" applyFont="1" applyBorder="1" applyAlignment="1">
      <alignment horizontal="center" vertical="center"/>
    </xf>
    <xf numFmtId="1" fontId="11" fillId="9" borderId="11" xfId="1" applyNumberFormat="1" applyFont="1" applyFill="1" applyBorder="1" applyAlignment="1">
      <alignment horizontal="center" vertical="center" shrinkToFit="1"/>
    </xf>
    <xf numFmtId="2" fontId="12" fillId="0" borderId="25" xfId="1" applyNumberFormat="1" applyFont="1" applyBorder="1" applyAlignment="1">
      <alignment horizontal="right" vertical="top"/>
    </xf>
    <xf numFmtId="2" fontId="13" fillId="0" borderId="3" xfId="1" applyNumberFormat="1" applyFont="1" applyBorder="1" applyAlignment="1">
      <alignment horizontal="center" vertical="top" wrapText="1"/>
    </xf>
    <xf numFmtId="0" fontId="13" fillId="0" borderId="5" xfId="1" applyFont="1" applyBorder="1" applyAlignment="1">
      <alignment horizontal="left" vertical="top"/>
    </xf>
    <xf numFmtId="0" fontId="13" fillId="0" borderId="4"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0" fontId="13" fillId="0" borderId="30" xfId="1" applyFont="1" applyBorder="1" applyAlignment="1">
      <alignment horizontal="left" vertical="center" wrapText="1"/>
    </xf>
    <xf numFmtId="2" fontId="13" fillId="0" borderId="5" xfId="1" applyNumberFormat="1" applyFont="1" applyBorder="1" applyAlignment="1">
      <alignment horizontal="center" vertical="top"/>
    </xf>
    <xf numFmtId="0" fontId="4" fillId="0" borderId="1" xfId="0" applyFont="1" applyBorder="1" applyAlignment="1">
      <alignment horizontal="left"/>
    </xf>
    <xf numFmtId="0" fontId="7"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0" fontId="4" fillId="0" borderId="7" xfId="1" applyFont="1" applyBorder="1" applyAlignment="1">
      <alignment horizontal="right" vertical="top"/>
    </xf>
    <xf numFmtId="0" fontId="4" fillId="0" borderId="8" xfId="1" applyFont="1" applyBorder="1" applyAlignment="1">
      <alignment horizontal="right" vertical="top"/>
    </xf>
    <xf numFmtId="2" fontId="11" fillId="0" borderId="9" xfId="1" applyNumberFormat="1" applyFont="1" applyBorder="1" applyAlignment="1">
      <alignment horizontal="right" vertical="center"/>
    </xf>
    <xf numFmtId="2" fontId="7" fillId="0" borderId="6" xfId="1" applyNumberFormat="1" applyFont="1" applyBorder="1" applyAlignment="1">
      <alignment vertical="center"/>
    </xf>
    <xf numFmtId="0" fontId="11" fillId="10" borderId="11" xfId="1" applyFont="1" applyFill="1" applyBorder="1" applyAlignment="1">
      <alignment horizontal="center" vertical="center"/>
    </xf>
    <xf numFmtId="2" fontId="13" fillId="0" borderId="16" xfId="1" applyNumberFormat="1" applyFont="1" applyBorder="1" applyAlignment="1">
      <alignment vertical="top" wrapText="1"/>
    </xf>
    <xf numFmtId="2" fontId="13" fillId="0" borderId="6" xfId="1" applyNumberFormat="1" applyFont="1" applyBorder="1" applyAlignment="1">
      <alignment vertical="top" wrapText="1"/>
    </xf>
    <xf numFmtId="2" fontId="13" fillId="0" borderId="6" xfId="1" applyNumberFormat="1" applyFont="1" applyBorder="1" applyAlignment="1">
      <alignment horizontal="center" vertical="top"/>
    </xf>
    <xf numFmtId="2" fontId="13" fillId="0" borderId="6" xfId="1" applyNumberFormat="1" applyFont="1" applyBorder="1" applyAlignment="1">
      <alignment vertical="center" wrapText="1"/>
    </xf>
    <xf numFmtId="2" fontId="4" fillId="0" borderId="6" xfId="1" applyNumberFormat="1" applyFont="1" applyBorder="1" applyAlignment="1">
      <alignment vertical="center" wrapText="1"/>
    </xf>
    <xf numFmtId="2" fontId="20" fillId="0" borderId="6" xfId="1" applyNumberFormat="1" applyFont="1" applyBorder="1" applyAlignment="1">
      <alignment vertical="top"/>
    </xf>
    <xf numFmtId="0" fontId="4" fillId="0" borderId="17" xfId="1" applyFont="1" applyBorder="1" applyAlignment="1">
      <alignment horizontal="right" vertical="top"/>
    </xf>
    <xf numFmtId="0" fontId="4" fillId="0" borderId="0" xfId="1" applyFont="1" applyAlignment="1">
      <alignment horizontal="right" vertical="top"/>
    </xf>
    <xf numFmtId="2" fontId="4" fillId="0" borderId="18" xfId="1" applyNumberFormat="1" applyFont="1" applyBorder="1" applyAlignment="1">
      <alignment vertical="top"/>
    </xf>
    <xf numFmtId="0" fontId="13" fillId="0" borderId="2" xfId="1" applyFont="1" applyBorder="1" applyAlignment="1">
      <alignment horizontal="center" vertical="center" wrapText="1"/>
    </xf>
    <xf numFmtId="0" fontId="13" fillId="0" borderId="31" xfId="1" applyFont="1" applyBorder="1" applyAlignment="1">
      <alignment vertical="center"/>
    </xf>
    <xf numFmtId="0" fontId="13" fillId="0" borderId="5"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2" fontId="13" fillId="0" borderId="8" xfId="1" applyNumberFormat="1" applyFont="1" applyBorder="1" applyAlignment="1">
      <alignment vertical="center"/>
    </xf>
    <xf numFmtId="2" fontId="13" fillId="0" borderId="9" xfId="1" applyNumberFormat="1" applyFont="1" applyBorder="1" applyAlignment="1">
      <alignment vertical="center"/>
    </xf>
    <xf numFmtId="43" fontId="0" fillId="0" borderId="5" xfId="0" applyNumberFormat="1" applyBorder="1"/>
    <xf numFmtId="43" fontId="0" fillId="0" borderId="6" xfId="0" applyNumberFormat="1" applyBorder="1"/>
    <xf numFmtId="0" fontId="4" fillId="0" borderId="4" xfId="0" applyFont="1" applyBorder="1"/>
    <xf numFmtId="0" fontId="7" fillId="0" borderId="31" xfId="0" applyFont="1" applyBorder="1" applyAlignment="1">
      <alignment horizontal="left"/>
    </xf>
    <xf numFmtId="1" fontId="11" fillId="11" borderId="11" xfId="1" applyNumberFormat="1" applyFont="1" applyFill="1" applyBorder="1" applyAlignment="1">
      <alignment horizontal="center" vertical="center" shrinkToFi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47" xfId="0" applyFont="1" applyBorder="1" applyAlignment="1">
      <alignment horizontal="center" vertical="center" wrapText="1"/>
    </xf>
    <xf numFmtId="43" fontId="13" fillId="0" borderId="47" xfId="0" applyNumberFormat="1" applyFont="1" applyBorder="1" applyAlignment="1">
      <alignment horizontal="right" vertical="center" wrapText="1"/>
    </xf>
    <xf numFmtId="43" fontId="13" fillId="0" borderId="48" xfId="0" applyNumberFormat="1" applyFont="1" applyBorder="1" applyAlignment="1">
      <alignment horizontal="right" vertical="center" wrapText="1"/>
    </xf>
    <xf numFmtId="0" fontId="11" fillId="0" borderId="4" xfId="1" applyFont="1" applyBorder="1" applyAlignment="1">
      <alignment horizontal="left" vertical="top"/>
    </xf>
    <xf numFmtId="0" fontId="13" fillId="0" borderId="8" xfId="1" applyFont="1" applyBorder="1" applyAlignment="1">
      <alignment horizontal="center" vertical="top"/>
    </xf>
    <xf numFmtId="0" fontId="13" fillId="0" borderId="4" xfId="1" applyFont="1" applyBorder="1" applyAlignment="1">
      <alignment horizontal="right" vertical="center"/>
    </xf>
    <xf numFmtId="0" fontId="13" fillId="0" borderId="5" xfId="1" applyFont="1" applyBorder="1" applyAlignment="1">
      <alignment horizontal="right" vertical="center"/>
    </xf>
    <xf numFmtId="2" fontId="13" fillId="0" borderId="2" xfId="1" applyNumberFormat="1" applyFont="1" applyBorder="1" applyAlignment="1">
      <alignment horizontal="center" vertical="top" wrapText="1"/>
    </xf>
    <xf numFmtId="0" fontId="13" fillId="0" borderId="39" xfId="1" applyFont="1" applyBorder="1" applyAlignment="1">
      <alignment horizontal="left" vertical="center" wrapText="1"/>
    </xf>
    <xf numFmtId="0" fontId="13" fillId="0" borderId="39" xfId="1" applyFont="1" applyBorder="1" applyAlignment="1">
      <alignment horizontal="left" vertical="center"/>
    </xf>
    <xf numFmtId="0" fontId="13" fillId="0" borderId="6" xfId="1" applyFont="1" applyBorder="1" applyAlignment="1">
      <alignment vertical="center" wrapText="1"/>
    </xf>
    <xf numFmtId="2" fontId="7" fillId="0" borderId="6" xfId="1" applyNumberFormat="1" applyFont="1" applyBorder="1" applyAlignment="1">
      <alignment vertical="center" wrapText="1"/>
    </xf>
    <xf numFmtId="0" fontId="13" fillId="0" borderId="6" xfId="1" applyFont="1" applyBorder="1" applyAlignment="1">
      <alignment vertical="top"/>
    </xf>
    <xf numFmtId="0" fontId="13" fillId="0" borderId="6" xfId="1" applyFont="1" applyBorder="1" applyAlignment="1">
      <alignment horizontal="center" vertical="center" wrapText="1"/>
    </xf>
    <xf numFmtId="2" fontId="13" fillId="0" borderId="6" xfId="1" applyNumberFormat="1" applyFont="1" applyBorder="1" applyAlignment="1">
      <alignment horizontal="right" vertical="center" wrapText="1"/>
    </xf>
    <xf numFmtId="0" fontId="13" fillId="0" borderId="6" xfId="1" applyFont="1" applyBorder="1" applyAlignment="1">
      <alignment horizontal="right" vertical="center" wrapText="1"/>
    </xf>
    <xf numFmtId="0" fontId="13" fillId="0" borderId="9" xfId="1" applyFont="1" applyBorder="1" applyAlignment="1">
      <alignment vertical="top"/>
    </xf>
    <xf numFmtId="2" fontId="12" fillId="0" borderId="9" xfId="1" applyNumberFormat="1" applyFont="1" applyBorder="1" applyAlignment="1">
      <alignment vertical="center" wrapText="1"/>
    </xf>
    <xf numFmtId="2" fontId="12" fillId="0" borderId="9" xfId="1" applyNumberFormat="1" applyFont="1" applyBorder="1" applyAlignment="1">
      <alignment vertical="top"/>
    </xf>
    <xf numFmtId="2" fontId="4" fillId="0" borderId="9" xfId="1" applyNumberFormat="1" applyFont="1" applyBorder="1" applyAlignment="1">
      <alignment vertical="top"/>
    </xf>
    <xf numFmtId="2" fontId="4" fillId="0" borderId="9" xfId="1" applyNumberFormat="1" applyFont="1" applyBorder="1" applyAlignment="1">
      <alignment vertical="center"/>
    </xf>
    <xf numFmtId="2" fontId="13" fillId="0" borderId="6" xfId="1" applyNumberFormat="1" applyFont="1" applyBorder="1" applyAlignment="1">
      <alignment horizontal="right" vertical="top"/>
    </xf>
    <xf numFmtId="0" fontId="0" fillId="0" borderId="3" xfId="0" applyBorder="1" applyAlignment="1">
      <alignment horizontal="right"/>
    </xf>
    <xf numFmtId="2" fontId="4" fillId="0" borderId="50" xfId="1" applyNumberFormat="1" applyFont="1" applyBorder="1" applyAlignment="1">
      <alignment vertical="top"/>
    </xf>
    <xf numFmtId="0" fontId="13" fillId="0" borderId="7" xfId="1" applyFont="1" applyBorder="1" applyAlignment="1">
      <alignment horizontal="right" vertical="top"/>
    </xf>
    <xf numFmtId="0" fontId="13" fillId="0" borderId="8" xfId="1" applyFont="1" applyBorder="1" applyAlignment="1">
      <alignment horizontal="right" vertical="top"/>
    </xf>
    <xf numFmtId="0" fontId="13" fillId="0" borderId="9" xfId="1" applyFont="1" applyBorder="1" applyAlignment="1">
      <alignment horizontal="center" vertical="top"/>
    </xf>
    <xf numFmtId="2" fontId="13" fillId="0" borderId="5" xfId="1" applyNumberFormat="1" applyFont="1" applyBorder="1" applyAlignment="1">
      <alignment horizontal="right" vertical="center"/>
    </xf>
    <xf numFmtId="2" fontId="13" fillId="0" borderId="22" xfId="1" applyNumberFormat="1" applyFont="1" applyBorder="1" applyAlignment="1">
      <alignment horizontal="right" vertical="center"/>
    </xf>
    <xf numFmtId="0" fontId="0" fillId="0" borderId="22" xfId="0" applyBorder="1" applyAlignment="1">
      <alignment horizontal="center"/>
    </xf>
    <xf numFmtId="0" fontId="13" fillId="0" borderId="31" xfId="1" applyFont="1" applyBorder="1" applyAlignment="1">
      <alignment horizontal="left" vertical="top" wrapText="1"/>
    </xf>
    <xf numFmtId="2" fontId="13" fillId="0" borderId="22" xfId="1" applyNumberFormat="1" applyFont="1" applyBorder="1" applyAlignment="1">
      <alignment horizontal="center" vertical="center"/>
    </xf>
    <xf numFmtId="0" fontId="13" fillId="0" borderId="25" xfId="1" applyFont="1" applyBorder="1" applyAlignment="1">
      <alignment vertical="top"/>
    </xf>
    <xf numFmtId="43" fontId="13" fillId="0" borderId="3" xfId="1" applyNumberFormat="1" applyFont="1" applyBorder="1" applyAlignment="1">
      <alignment horizontal="right" vertical="top" wrapText="1"/>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38" xfId="1" applyFont="1" applyBorder="1" applyAlignment="1">
      <alignment horizontal="left" vertical="center"/>
    </xf>
    <xf numFmtId="0" fontId="13" fillId="0" borderId="30" xfId="1" applyFont="1" applyBorder="1" applyAlignment="1">
      <alignment vertical="center"/>
    </xf>
    <xf numFmtId="0" fontId="13" fillId="0" borderId="38" xfId="1" applyFont="1" applyBorder="1" applyAlignment="1">
      <alignment vertical="center"/>
    </xf>
    <xf numFmtId="2" fontId="12" fillId="0" borderId="6" xfId="1" applyNumberFormat="1" applyFont="1" applyBorder="1" applyAlignment="1">
      <alignment horizontal="right" vertical="center"/>
    </xf>
    <xf numFmtId="1" fontId="11" fillId="8" borderId="11" xfId="1" applyNumberFormat="1" applyFont="1" applyFill="1" applyBorder="1" applyAlignment="1">
      <alignment horizontal="center" vertical="center" wrapText="1" shrinkToFi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30" xfId="1" applyFont="1" applyBorder="1" applyAlignment="1">
      <alignment horizontal="right" vertical="top"/>
    </xf>
    <xf numFmtId="0" fontId="4" fillId="0" borderId="38" xfId="1" applyFont="1" applyBorder="1" applyAlignment="1">
      <alignment horizontal="right" vertical="top"/>
    </xf>
    <xf numFmtId="0" fontId="11" fillId="7" borderId="11" xfId="1" applyFont="1" applyFill="1" applyBorder="1" applyAlignment="1">
      <alignment horizontal="left" vertical="center"/>
    </xf>
    <xf numFmtId="0" fontId="4" fillId="8" borderId="11"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4" fillId="0" borderId="4" xfId="1" applyFont="1" applyBorder="1" applyAlignment="1">
      <alignment horizontal="right" vertical="top"/>
    </xf>
    <xf numFmtId="0" fontId="4" fillId="0" borderId="5" xfId="1" applyFont="1" applyBorder="1" applyAlignment="1">
      <alignment horizontal="right" vertical="top"/>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11" borderId="11" xfId="1" applyFont="1" applyFill="1" applyBorder="1" applyAlignment="1">
      <alignment horizontal="left" vertical="center" wrapText="1"/>
    </xf>
    <xf numFmtId="0" fontId="12" fillId="0" borderId="7" xfId="1" applyFont="1" applyBorder="1" applyAlignment="1">
      <alignment horizontal="right" vertical="top"/>
    </xf>
    <xf numFmtId="0" fontId="12" fillId="0" borderId="8" xfId="1" applyFont="1" applyBorder="1" applyAlignment="1">
      <alignment horizontal="right" vertical="top"/>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16" fillId="6" borderId="19" xfId="1" applyFont="1" applyFill="1" applyBorder="1" applyAlignment="1">
      <alignment horizontal="center"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4" fillId="8" borderId="26" xfId="1" applyFont="1" applyFill="1" applyBorder="1" applyAlignment="1">
      <alignment horizontal="left"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13" fillId="0" borderId="29" xfId="1" applyFont="1" applyBorder="1" applyAlignment="1">
      <alignment horizontal="right" vertical="top"/>
    </xf>
    <xf numFmtId="0" fontId="4" fillId="0" borderId="29" xfId="1" applyFont="1" applyBorder="1" applyAlignment="1">
      <alignment horizontal="right" vertical="top"/>
    </xf>
    <xf numFmtId="0" fontId="4" fillId="9" borderId="26" xfId="1" applyFont="1" applyFill="1" applyBorder="1" applyAlignment="1">
      <alignment horizontal="left" vertical="center" wrapText="1"/>
    </xf>
    <xf numFmtId="0" fontId="4" fillId="9" borderId="27" xfId="1" applyFont="1" applyFill="1" applyBorder="1" applyAlignment="1">
      <alignment horizontal="left" vertical="center" wrapText="1"/>
    </xf>
    <xf numFmtId="0" fontId="4" fillId="9" borderId="28" xfId="1" applyFont="1" applyFill="1" applyBorder="1" applyAlignment="1">
      <alignment horizontal="left" vertical="center" wrapText="1"/>
    </xf>
    <xf numFmtId="0" fontId="13" fillId="0" borderId="1" xfId="1" applyFont="1" applyBorder="1" applyAlignment="1">
      <alignment horizontal="right" vertical="top"/>
    </xf>
    <xf numFmtId="0" fontId="13" fillId="0" borderId="2" xfId="1" applyFont="1" applyBorder="1" applyAlignment="1">
      <alignment horizontal="right" vertical="top"/>
    </xf>
    <xf numFmtId="0" fontId="20" fillId="0" borderId="4" xfId="1" applyFont="1" applyBorder="1" applyAlignment="1">
      <alignment horizontal="right" vertical="top"/>
    </xf>
    <xf numFmtId="0" fontId="20" fillId="0" borderId="5" xfId="1" applyFont="1" applyBorder="1" applyAlignment="1">
      <alignment horizontal="right" vertical="top"/>
    </xf>
    <xf numFmtId="0" fontId="4" fillId="0" borderId="7" xfId="1" applyFont="1" applyBorder="1" applyAlignment="1">
      <alignment horizontal="right" vertical="center" wrapText="1"/>
    </xf>
    <xf numFmtId="0" fontId="4" fillId="0" borderId="8" xfId="1" applyFont="1" applyBorder="1" applyAlignment="1">
      <alignment horizontal="right" vertical="center" wrapText="1"/>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5" xfId="1" applyNumberFormat="1" applyFont="1" applyBorder="1" applyAlignment="1">
      <alignment horizontal="center" vertical="top"/>
    </xf>
    <xf numFmtId="0" fontId="13" fillId="0" borderId="30" xfId="1" applyFont="1" applyBorder="1" applyAlignment="1">
      <alignment horizontal="left" vertical="center"/>
    </xf>
    <xf numFmtId="0" fontId="13" fillId="0" borderId="17" xfId="1" applyFont="1" applyBorder="1" applyAlignment="1">
      <alignment horizontal="left" vertical="center"/>
    </xf>
    <xf numFmtId="0" fontId="13" fillId="0" borderId="31" xfId="1" applyFont="1" applyBorder="1" applyAlignment="1">
      <alignment horizontal="left" vertical="center"/>
    </xf>
    <xf numFmtId="0" fontId="16" fillId="6" borderId="44" xfId="1" applyFont="1" applyFill="1" applyBorder="1" applyAlignment="1">
      <alignment horizontal="center" vertical="center" wrapText="1"/>
    </xf>
    <xf numFmtId="0" fontId="16" fillId="6" borderId="45" xfId="1" applyFont="1" applyFill="1" applyBorder="1" applyAlignment="1">
      <alignment horizontal="center"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3" fillId="0" borderId="23" xfId="1" applyFont="1" applyBorder="1" applyAlignment="1">
      <alignment horizontal="center" vertical="top"/>
    </xf>
    <xf numFmtId="0" fontId="13" fillId="0" borderId="24" xfId="1" applyFont="1" applyBorder="1" applyAlignment="1">
      <alignment horizontal="center" vertical="top"/>
    </xf>
    <xf numFmtId="0" fontId="13" fillId="0" borderId="4" xfId="1" applyFont="1" applyBorder="1" applyAlignment="1">
      <alignment horizontal="center" vertical="center"/>
    </xf>
    <xf numFmtId="0" fontId="13" fillId="0" borderId="4" xfId="1" applyFont="1" applyBorder="1" applyAlignment="1">
      <alignment horizontal="left" vertical="center"/>
    </xf>
    <xf numFmtId="0" fontId="13" fillId="0" borderId="38" xfId="1" applyFont="1" applyBorder="1" applyAlignment="1">
      <alignment horizontal="left" vertical="center"/>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1" fillId="0" borderId="29" xfId="1" applyFont="1" applyBorder="1" applyAlignment="1">
      <alignment horizontal="right" vertical="top"/>
    </xf>
    <xf numFmtId="0" fontId="11" fillId="0" borderId="4" xfId="1" applyFont="1" applyBorder="1" applyAlignment="1">
      <alignment horizontal="right" vertical="top"/>
    </xf>
    <xf numFmtId="0" fontId="13" fillId="0" borderId="5" xfId="1" applyFont="1" applyBorder="1" applyAlignment="1">
      <alignment horizontal="left" vertical="center"/>
    </xf>
    <xf numFmtId="0" fontId="12" fillId="0" borderId="29" xfId="1" applyFont="1" applyBorder="1" applyAlignment="1">
      <alignment horizontal="right" vertical="top"/>
    </xf>
    <xf numFmtId="0" fontId="4" fillId="0" borderId="7" xfId="1" applyFont="1" applyBorder="1" applyAlignment="1">
      <alignment horizontal="right" vertical="top"/>
    </xf>
    <xf numFmtId="0" fontId="4" fillId="0" borderId="8" xfId="1" applyFont="1" applyBorder="1" applyAlignment="1">
      <alignment horizontal="right" vertical="top"/>
    </xf>
    <xf numFmtId="0" fontId="11" fillId="10" borderId="11" xfId="1" applyFont="1" applyFill="1" applyBorder="1" applyAlignment="1">
      <alignment horizontal="left" vertical="center"/>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13" fillId="0" borderId="2" xfId="1" applyFont="1" applyBorder="1" applyAlignment="1">
      <alignment horizontal="center" vertical="center" wrapText="1"/>
    </xf>
    <xf numFmtId="2" fontId="13" fillId="0" borderId="5" xfId="1" applyNumberFormat="1" applyFont="1" applyBorder="1" applyAlignment="1">
      <alignment horizontal="center" vertical="center" wrapText="1"/>
    </xf>
    <xf numFmtId="0" fontId="4" fillId="9" borderId="11" xfId="1" applyFont="1" applyFill="1" applyBorder="1" applyAlignment="1">
      <alignment horizontal="left" vertical="center" wrapText="1"/>
    </xf>
    <xf numFmtId="0" fontId="13" fillId="0" borderId="7" xfId="1" applyFont="1" applyBorder="1" applyAlignment="1">
      <alignment horizontal="center" vertical="top"/>
    </xf>
    <xf numFmtId="0" fontId="13" fillId="0" borderId="8" xfId="1" applyFont="1" applyBorder="1" applyAlignment="1">
      <alignment horizontal="center" vertical="top"/>
    </xf>
    <xf numFmtId="0" fontId="7" fillId="0" borderId="4" xfId="1" applyFont="1" applyBorder="1" applyAlignment="1">
      <alignment horizontal="right" vertical="top" wrapText="1"/>
    </xf>
    <xf numFmtId="0" fontId="7" fillId="0" borderId="5" xfId="1" applyFont="1" applyBorder="1" applyAlignment="1">
      <alignment horizontal="righ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39" xfId="1" applyFont="1" applyBorder="1" applyAlignment="1">
      <alignment horizontal="left" vertical="center" wrapText="1"/>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12" fillId="0" borderId="7" xfId="1" applyFont="1" applyBorder="1" applyAlignment="1">
      <alignment horizontal="right" vertical="center" wrapText="1"/>
    </xf>
    <xf numFmtId="0" fontId="12" fillId="0" borderId="8" xfId="1" applyFont="1" applyBorder="1" applyAlignment="1">
      <alignment horizontal="righ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2" fontId="13" fillId="0" borderId="5" xfId="1" applyNumberFormat="1" applyFont="1" applyBorder="1" applyAlignment="1">
      <alignment horizontal="center" vertical="center"/>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39" xfId="1" applyFont="1" applyBorder="1" applyAlignment="1">
      <alignment horizontal="right" vertical="top"/>
    </xf>
    <xf numFmtId="0" fontId="13" fillId="0" borderId="49" xfId="1" applyFont="1" applyBorder="1" applyAlignment="1">
      <alignment horizontal="right" vertical="top"/>
    </xf>
    <xf numFmtId="0" fontId="13" fillId="0" borderId="34" xfId="1" applyFont="1" applyBorder="1" applyAlignment="1">
      <alignment horizontal="right" vertical="top"/>
    </xf>
    <xf numFmtId="0" fontId="7" fillId="0" borderId="39" xfId="1" applyFont="1" applyBorder="1" applyAlignment="1">
      <alignment horizontal="right" vertical="top"/>
    </xf>
    <xf numFmtId="0" fontId="7" fillId="0" borderId="49" xfId="1" applyFont="1" applyBorder="1" applyAlignment="1">
      <alignment horizontal="right" vertical="top"/>
    </xf>
    <xf numFmtId="0" fontId="7" fillId="0" borderId="34" xfId="1" applyFont="1" applyBorder="1" applyAlignment="1">
      <alignment horizontal="right" vertical="top"/>
    </xf>
    <xf numFmtId="0" fontId="4" fillId="0" borderId="39" xfId="1" applyFont="1" applyBorder="1" applyAlignment="1">
      <alignment horizontal="right" vertical="top"/>
    </xf>
    <xf numFmtId="0" fontId="4" fillId="0" borderId="49" xfId="1" applyFont="1" applyBorder="1" applyAlignment="1">
      <alignment horizontal="right" vertical="top"/>
    </xf>
    <xf numFmtId="0" fontId="4" fillId="0" borderId="34" xfId="1" applyFont="1" applyBorder="1" applyAlignment="1">
      <alignment horizontal="righ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7" fillId="0" borderId="1" xfId="0" applyFont="1" applyBorder="1" applyAlignment="1">
      <alignment horizontal="right"/>
    </xf>
    <xf numFmtId="0" fontId="7" fillId="0" borderId="2" xfId="0" applyFont="1" applyBorder="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13" fillId="0" borderId="38" xfId="1" applyFont="1" applyBorder="1" applyAlignment="1">
      <alignment horizontal="right" vertical="center" wrapText="1"/>
    </xf>
    <xf numFmtId="0" fontId="7" fillId="0" borderId="22" xfId="0" applyFont="1" applyBorder="1" applyAlignment="1">
      <alignment horizontal="center"/>
    </xf>
    <xf numFmtId="0" fontId="13" fillId="0" borderId="1" xfId="1" applyFont="1" applyBorder="1" applyAlignment="1">
      <alignment horizontal="center" vertical="center" wrapText="1"/>
    </xf>
    <xf numFmtId="0" fontId="13" fillId="0" borderId="30" xfId="1" applyFont="1" applyBorder="1" applyAlignment="1">
      <alignment horizontal="left" vertical="center" wrapText="1"/>
    </xf>
    <xf numFmtId="0" fontId="13" fillId="0" borderId="38" xfId="1" applyFont="1" applyBorder="1" applyAlignment="1">
      <alignment horizontal="left" vertical="center" wrapText="1"/>
    </xf>
    <xf numFmtId="43" fontId="13" fillId="0" borderId="13" xfId="0" applyNumberFormat="1" applyFont="1" applyFill="1" applyBorder="1" applyAlignment="1">
      <alignment horizontal="right"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592665</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253999</xdr:colOff>
      <xdr:row>0</xdr:row>
      <xdr:rowOff>84667</xdr:rowOff>
    </xdr:from>
    <xdr:to>
      <xdr:col>4</xdr:col>
      <xdr:colOff>611048</xdr:colOff>
      <xdr:row>4</xdr:row>
      <xdr:rowOff>35650</xdr:rowOff>
    </xdr:to>
    <xdr:pic>
      <xdr:nvPicPr>
        <xdr:cNvPr id="2" name="Picture 7">
          <a:extLst>
            <a:ext uri="{FF2B5EF4-FFF2-40B4-BE49-F238E27FC236}">
              <a16:creationId xmlns:a16="http://schemas.microsoft.com/office/drawing/2014/main" id="{855930E5-F209-46ED-BB6F-FBB6E2932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999" y="84667"/>
          <a:ext cx="566247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6A52DCED-7009-4E83-A471-54A211C2B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670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3B81AB3E-147E-490D-B5F2-B996799A8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225036</xdr:colOff>
      <xdr:row>1</xdr:row>
      <xdr:rowOff>27851</xdr:rowOff>
    </xdr:from>
    <xdr:to>
      <xdr:col>4</xdr:col>
      <xdr:colOff>582085</xdr:colOff>
      <xdr:row>4</xdr:row>
      <xdr:rowOff>137584</xdr:rowOff>
    </xdr:to>
    <xdr:pic>
      <xdr:nvPicPr>
        <xdr:cNvPr id="2" name="Picture 7">
          <a:extLst>
            <a:ext uri="{FF2B5EF4-FFF2-40B4-BE49-F238E27FC236}">
              <a16:creationId xmlns:a16="http://schemas.microsoft.com/office/drawing/2014/main" id="{560474BB-C988-4BF7-9450-9ADD7270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36" y="189776"/>
          <a:ext cx="5671999"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267369</xdr:colOff>
      <xdr:row>1</xdr:row>
      <xdr:rowOff>27850</xdr:rowOff>
    </xdr:from>
    <xdr:to>
      <xdr:col>4</xdr:col>
      <xdr:colOff>624418</xdr:colOff>
      <xdr:row>4</xdr:row>
      <xdr:rowOff>137583</xdr:rowOff>
    </xdr:to>
    <xdr:pic>
      <xdr:nvPicPr>
        <xdr:cNvPr id="2" name="Picture 7">
          <a:extLst>
            <a:ext uri="{FF2B5EF4-FFF2-40B4-BE49-F238E27FC236}">
              <a16:creationId xmlns:a16="http://schemas.microsoft.com/office/drawing/2014/main" id="{185900DF-06CF-4674-9C41-35070FCB3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369" y="189775"/>
          <a:ext cx="5671999"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CAMARA%20MUNICIPAL%20JP\ADITIVO\ADITIVO%2002\PRE&#199;OS%20APROVADOS\Planilha%20Aditivo%20Nova%20Sede%20-%2005%20-%20FINAL.xlsx" TargetMode="External"/><Relationship Id="rId1" Type="http://schemas.openxmlformats.org/officeDocument/2006/relationships/externalLinkPath" Target="/CAMARA%20MUNICIPAL%20JP/ADITIVO/ADITIVO%2002/PRE&#199;OS%20APROVADOS/Planilha%20Aditivo%20Nova%20Sede%20-%2005%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3627">
          <cell r="I3627">
            <v>9.5299999999999994</v>
          </cell>
        </row>
        <row r="3635">
          <cell r="I3635">
            <v>38.657279999999993</v>
          </cell>
        </row>
        <row r="3643">
          <cell r="I3643">
            <v>40.98</v>
          </cell>
        </row>
        <row r="3651">
          <cell r="I3651">
            <v>2.8675000000000002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Final"/>
      <sheetName val="RESUMO MEM."/>
      <sheetName val="3.0"/>
      <sheetName val="4.0"/>
      <sheetName val="5.0"/>
      <sheetName val="6.0"/>
      <sheetName val="8.0"/>
      <sheetName val="9.0"/>
      <sheetName val="11.0"/>
      <sheetName val="12.0"/>
      <sheetName val="14.0"/>
      <sheetName val="15.0"/>
      <sheetName val="16.0"/>
      <sheetName val="17.0"/>
      <sheetName val="18.0"/>
      <sheetName val="24.0"/>
      <sheetName val="TABELA (2)"/>
    </sheetNames>
    <sheetDataSet>
      <sheetData sheetId="0">
        <row r="210">
          <cell r="E210">
            <v>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91"/>
  <sheetViews>
    <sheetView showGridLines="0" showOutlineSymbols="0" showWhiteSpace="0" view="pageBreakPreview" topLeftCell="A478" zoomScale="80" zoomScaleNormal="100" zoomScaleSheetLayoutView="80" workbookViewId="0">
      <selection activeCell="I101" sqref="I101"/>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99"/>
      <c r="B1" s="1"/>
      <c r="C1" s="200"/>
      <c r="D1" s="200"/>
      <c r="E1" s="200"/>
      <c r="F1" s="200"/>
      <c r="G1" s="1"/>
      <c r="H1" s="1"/>
      <c r="I1" s="1"/>
      <c r="J1" s="1"/>
      <c r="K1" s="1"/>
      <c r="L1" s="1"/>
      <c r="M1" s="1"/>
    </row>
    <row r="2" spans="1:13" ht="80.099999999999994" customHeight="1" x14ac:dyDescent="0.2">
      <c r="A2" s="199"/>
      <c r="B2" s="3"/>
      <c r="C2" s="201"/>
      <c r="D2" s="201"/>
      <c r="E2" s="202"/>
      <c r="F2" s="202"/>
      <c r="G2" s="3"/>
      <c r="H2" s="3"/>
      <c r="I2" s="3"/>
      <c r="J2" s="3"/>
      <c r="K2" s="3"/>
      <c r="L2" s="3"/>
      <c r="M2" s="3"/>
    </row>
    <row r="3" spans="1:13" s="4" customFormat="1" ht="18" customHeight="1" x14ac:dyDescent="0.2">
      <c r="A3" s="203" t="s">
        <v>0</v>
      </c>
      <c r="B3" s="204"/>
      <c r="C3" s="204"/>
      <c r="D3" s="204"/>
      <c r="E3" s="204"/>
      <c r="F3" s="204"/>
      <c r="G3" s="205"/>
      <c r="H3" s="206" t="s">
        <v>1</v>
      </c>
      <c r="I3" s="207"/>
      <c r="J3" s="207"/>
      <c r="K3" s="208">
        <f>G487</f>
        <v>23476919.355948843</v>
      </c>
      <c r="L3" s="208"/>
      <c r="M3" s="208"/>
    </row>
    <row r="4" spans="1:13" s="4" customFormat="1" ht="18.75" customHeight="1" x14ac:dyDescent="0.2">
      <c r="A4" s="193" t="s">
        <v>2</v>
      </c>
      <c r="B4" s="194"/>
      <c r="C4" s="194"/>
      <c r="D4" s="194"/>
      <c r="E4" s="194"/>
      <c r="F4" s="194"/>
      <c r="G4" s="195"/>
      <c r="H4" s="196" t="s">
        <v>3</v>
      </c>
      <c r="I4" s="197"/>
      <c r="J4" s="197"/>
      <c r="K4" s="198">
        <f>K487</f>
        <v>20040008.170946527</v>
      </c>
      <c r="L4" s="198"/>
      <c r="M4" s="198"/>
    </row>
    <row r="5" spans="1:13" s="4" customFormat="1" ht="18.75" customHeight="1" x14ac:dyDescent="0.2">
      <c r="A5" s="193" t="s">
        <v>4</v>
      </c>
      <c r="B5" s="194"/>
      <c r="C5" s="194"/>
      <c r="D5" s="194"/>
      <c r="E5" s="194"/>
      <c r="F5" s="194"/>
      <c r="G5" s="195"/>
      <c r="H5" s="196" t="s">
        <v>5</v>
      </c>
      <c r="I5" s="197"/>
      <c r="J5" s="197"/>
      <c r="K5" s="198">
        <f>L487</f>
        <v>1338911.9215078524</v>
      </c>
      <c r="L5" s="198"/>
      <c r="M5" s="198"/>
    </row>
    <row r="6" spans="1:13" s="4" customFormat="1" ht="17.25" customHeight="1" x14ac:dyDescent="0.2">
      <c r="A6" s="193" t="s">
        <v>6</v>
      </c>
      <c r="B6" s="194"/>
      <c r="C6" s="194"/>
      <c r="D6" s="194"/>
      <c r="E6" s="194"/>
      <c r="F6" s="194"/>
      <c r="G6" s="195"/>
      <c r="H6" s="196" t="s">
        <v>7</v>
      </c>
      <c r="I6" s="197"/>
      <c r="J6" s="197"/>
      <c r="K6" s="198">
        <f>M487</f>
        <v>21378920.112454381</v>
      </c>
      <c r="L6" s="198"/>
      <c r="M6" s="198"/>
    </row>
    <row r="7" spans="1:13" ht="19.5" customHeight="1" x14ac:dyDescent="0.2">
      <c r="A7" s="209" t="s">
        <v>8</v>
      </c>
      <c r="B7" s="210"/>
      <c r="C7" s="210"/>
      <c r="D7" s="210"/>
      <c r="E7" s="210"/>
      <c r="F7" s="210"/>
      <c r="G7" s="211"/>
      <c r="H7" s="212" t="s">
        <v>9</v>
      </c>
      <c r="I7" s="213"/>
      <c r="J7" s="213"/>
      <c r="K7" s="214">
        <f>K3-K6</f>
        <v>2097999.2434944622</v>
      </c>
      <c r="L7" s="214"/>
      <c r="M7" s="214"/>
    </row>
    <row r="8" spans="1:13" ht="26.25" customHeight="1" x14ac:dyDescent="0.2">
      <c r="A8" s="225" t="s">
        <v>1347</v>
      </c>
      <c r="B8" s="226"/>
      <c r="C8" s="226"/>
      <c r="D8" s="226"/>
      <c r="E8" s="226"/>
      <c r="F8" s="226"/>
      <c r="G8" s="227"/>
      <c r="H8" s="215" t="s">
        <v>1346</v>
      </c>
      <c r="I8" s="215"/>
      <c r="J8" s="215"/>
      <c r="K8" s="215"/>
      <c r="L8" s="215"/>
      <c r="M8" s="215"/>
    </row>
    <row r="9" spans="1:13" ht="24.75" customHeight="1" x14ac:dyDescent="0.2">
      <c r="A9" s="216" t="s">
        <v>10</v>
      </c>
      <c r="B9" s="216"/>
      <c r="C9" s="216"/>
      <c r="D9" s="216"/>
      <c r="E9" s="216"/>
      <c r="F9" s="216"/>
      <c r="G9" s="216"/>
      <c r="H9" s="216"/>
      <c r="I9" s="216"/>
      <c r="J9" s="216"/>
      <c r="K9" s="216"/>
      <c r="L9" s="216"/>
      <c r="M9" s="216"/>
    </row>
    <row r="10" spans="1:13" ht="15" x14ac:dyDescent="0.2">
      <c r="A10" s="5"/>
    </row>
    <row r="11" spans="1:13" ht="21.75" customHeight="1" x14ac:dyDescent="0.2">
      <c r="A11" s="217" t="s">
        <v>11</v>
      </c>
      <c r="B11" s="217" t="s">
        <v>12</v>
      </c>
      <c r="C11" s="217" t="s">
        <v>13</v>
      </c>
      <c r="D11" s="218" t="s">
        <v>14</v>
      </c>
      <c r="E11" s="218"/>
      <c r="F11" s="218"/>
      <c r="G11" s="218"/>
      <c r="H11" s="218" t="s">
        <v>15</v>
      </c>
      <c r="I11" s="218"/>
      <c r="J11" s="218"/>
      <c r="K11" s="218" t="s">
        <v>16</v>
      </c>
      <c r="L11" s="218"/>
      <c r="M11" s="218"/>
    </row>
    <row r="12" spans="1:13" ht="30" customHeight="1" x14ac:dyDescent="0.2">
      <c r="A12" s="217"/>
      <c r="B12" s="217"/>
      <c r="C12" s="217"/>
      <c r="D12" s="6" t="s">
        <v>17</v>
      </c>
      <c r="E12" s="6" t="s">
        <v>18</v>
      </c>
      <c r="F12" s="6" t="s">
        <v>19</v>
      </c>
      <c r="G12" s="6" t="s">
        <v>20</v>
      </c>
      <c r="H12" s="6" t="s">
        <v>21</v>
      </c>
      <c r="I12" s="6" t="s">
        <v>22</v>
      </c>
      <c r="J12" s="6" t="s">
        <v>23</v>
      </c>
      <c r="K12" s="6" t="s">
        <v>21</v>
      </c>
      <c r="L12" s="6" t="s">
        <v>22</v>
      </c>
      <c r="M12" s="6" t="s">
        <v>23</v>
      </c>
    </row>
    <row r="13" spans="1:13" ht="24" customHeight="1" x14ac:dyDescent="0.2">
      <c r="A13" s="92" t="s">
        <v>24</v>
      </c>
      <c r="B13" s="7" t="s">
        <v>25</v>
      </c>
      <c r="C13" s="7"/>
      <c r="D13" s="8"/>
      <c r="E13" s="7"/>
      <c r="F13" s="7"/>
      <c r="G13" s="10">
        <v>1330552.0251710003</v>
      </c>
      <c r="H13" s="8"/>
      <c r="I13" s="9"/>
      <c r="J13" s="10"/>
      <c r="K13" s="10">
        <v>1182390.8851710001</v>
      </c>
      <c r="L13" s="10">
        <v>60771.42</v>
      </c>
      <c r="M13" s="93">
        <v>1243162.3051710001</v>
      </c>
    </row>
    <row r="14" spans="1:13" ht="16.5" customHeight="1" x14ac:dyDescent="0.2">
      <c r="A14" s="94" t="s">
        <v>26</v>
      </c>
      <c r="B14" s="11" t="s">
        <v>27</v>
      </c>
      <c r="C14" s="12" t="s">
        <v>28</v>
      </c>
      <c r="D14" s="13">
        <v>21</v>
      </c>
      <c r="E14" s="14">
        <v>49155.89</v>
      </c>
      <c r="F14" s="14">
        <v>60771.42</v>
      </c>
      <c r="G14" s="14">
        <v>1276199.82</v>
      </c>
      <c r="H14" s="13">
        <v>19</v>
      </c>
      <c r="I14" s="13">
        <v>1</v>
      </c>
      <c r="J14" s="13">
        <v>20</v>
      </c>
      <c r="K14" s="13">
        <v>1154656.98</v>
      </c>
      <c r="L14" s="13">
        <v>60771.42</v>
      </c>
      <c r="M14" s="95">
        <v>1215428.3999999999</v>
      </c>
    </row>
    <row r="15" spans="1:13" ht="34.5" customHeight="1" x14ac:dyDescent="0.2">
      <c r="A15" s="94" t="s">
        <v>29</v>
      </c>
      <c r="B15" s="11" t="s">
        <v>30</v>
      </c>
      <c r="C15" s="12" t="s">
        <v>31</v>
      </c>
      <c r="D15" s="13">
        <v>18</v>
      </c>
      <c r="E15" s="14">
        <v>312.24</v>
      </c>
      <c r="F15" s="14">
        <v>386.02</v>
      </c>
      <c r="G15" s="14">
        <v>6948.36</v>
      </c>
      <c r="H15" s="13">
        <v>18</v>
      </c>
      <c r="I15" s="13">
        <v>0</v>
      </c>
      <c r="J15" s="13">
        <v>18</v>
      </c>
      <c r="K15" s="13">
        <v>6948.36</v>
      </c>
      <c r="L15" s="13">
        <v>0</v>
      </c>
      <c r="M15" s="95">
        <v>6948.36</v>
      </c>
    </row>
    <row r="16" spans="1:13" ht="17.25" customHeight="1" x14ac:dyDescent="0.2">
      <c r="A16" s="94" t="s">
        <v>32</v>
      </c>
      <c r="B16" s="11" t="s">
        <v>33</v>
      </c>
      <c r="C16" s="12" t="s">
        <v>28</v>
      </c>
      <c r="D16" s="13">
        <v>1</v>
      </c>
      <c r="E16" s="14">
        <v>254.59</v>
      </c>
      <c r="F16" s="14">
        <v>294.53517099999999</v>
      </c>
      <c r="G16" s="14">
        <v>294.53517099999999</v>
      </c>
      <c r="H16" s="13">
        <v>1</v>
      </c>
      <c r="I16" s="13">
        <v>0</v>
      </c>
      <c r="J16" s="13">
        <v>1</v>
      </c>
      <c r="K16" s="13">
        <v>294.53517099999999</v>
      </c>
      <c r="L16" s="13">
        <v>0</v>
      </c>
      <c r="M16" s="95">
        <v>294.53517099999999</v>
      </c>
    </row>
    <row r="17" spans="1:13" ht="16.5" customHeight="1" x14ac:dyDescent="0.2">
      <c r="A17" s="94" t="s">
        <v>34</v>
      </c>
      <c r="B17" s="11" t="s">
        <v>35</v>
      </c>
      <c r="C17" s="12" t="s">
        <v>13</v>
      </c>
      <c r="D17" s="13">
        <v>1</v>
      </c>
      <c r="E17" s="14">
        <v>38105.08</v>
      </c>
      <c r="F17" s="14">
        <v>47109.31</v>
      </c>
      <c r="G17" s="14">
        <v>47109.31</v>
      </c>
      <c r="H17" s="13">
        <v>0.43496731325506499</v>
      </c>
      <c r="I17" s="13">
        <v>0</v>
      </c>
      <c r="J17" s="13">
        <v>0.43496731325506499</v>
      </c>
      <c r="K17" s="13">
        <v>20491.009999999966</v>
      </c>
      <c r="L17" s="13">
        <v>0</v>
      </c>
      <c r="M17" s="95">
        <v>20491.009999999966</v>
      </c>
    </row>
    <row r="18" spans="1:13" ht="24" customHeight="1" x14ac:dyDescent="0.2">
      <c r="A18" s="96" t="s">
        <v>36</v>
      </c>
      <c r="B18" s="15" t="s">
        <v>37</v>
      </c>
      <c r="C18" s="15"/>
      <c r="D18" s="16"/>
      <c r="E18" s="15"/>
      <c r="F18" s="15"/>
      <c r="G18" s="17">
        <v>73693.595420809346</v>
      </c>
      <c r="H18" s="16"/>
      <c r="I18" s="18"/>
      <c r="J18" s="19"/>
      <c r="K18" s="19">
        <v>73693.595420809317</v>
      </c>
      <c r="L18" s="19">
        <v>0</v>
      </c>
      <c r="M18" s="97">
        <v>73693.595420809317</v>
      </c>
    </row>
    <row r="19" spans="1:13" ht="32.25" customHeight="1" x14ac:dyDescent="0.2">
      <c r="A19" s="94" t="s">
        <v>38</v>
      </c>
      <c r="B19" s="11" t="s">
        <v>39</v>
      </c>
      <c r="C19" s="12" t="s">
        <v>31</v>
      </c>
      <c r="D19" s="13">
        <v>31.44</v>
      </c>
      <c r="E19" s="14">
        <v>573.22715839622401</v>
      </c>
      <c r="F19" s="14">
        <v>708.68073592525172</v>
      </c>
      <c r="G19" s="14">
        <v>22280.922337489916</v>
      </c>
      <c r="H19" s="13">
        <v>31.439999999999998</v>
      </c>
      <c r="I19" s="13">
        <v>0</v>
      </c>
      <c r="J19" s="13">
        <v>31.439999999999998</v>
      </c>
      <c r="K19" s="13">
        <v>22280.922337489912</v>
      </c>
      <c r="L19" s="13">
        <v>0</v>
      </c>
      <c r="M19" s="95">
        <v>22280.922337489912</v>
      </c>
    </row>
    <row r="20" spans="1:13" ht="33" customHeight="1" x14ac:dyDescent="0.2">
      <c r="A20" s="94" t="s">
        <v>40</v>
      </c>
      <c r="B20" s="11" t="s">
        <v>41</v>
      </c>
      <c r="C20" s="12" t="s">
        <v>31</v>
      </c>
      <c r="D20" s="13">
        <v>17.04</v>
      </c>
      <c r="E20" s="14">
        <v>978.91286938692781</v>
      </c>
      <c r="F20" s="14">
        <v>1210.2299804230588</v>
      </c>
      <c r="G20" s="14">
        <v>20622.318866408921</v>
      </c>
      <c r="H20" s="13">
        <v>17.04</v>
      </c>
      <c r="I20" s="13">
        <v>0</v>
      </c>
      <c r="J20" s="13">
        <v>17.04</v>
      </c>
      <c r="K20" s="13">
        <v>20622.318866408921</v>
      </c>
      <c r="L20" s="13">
        <v>0</v>
      </c>
      <c r="M20" s="95">
        <v>20622.318866408921</v>
      </c>
    </row>
    <row r="21" spans="1:13" ht="26.25" customHeight="1" x14ac:dyDescent="0.2">
      <c r="A21" s="94" t="s">
        <v>42</v>
      </c>
      <c r="B21" s="11" t="s">
        <v>43</v>
      </c>
      <c r="C21" s="12" t="s">
        <v>31</v>
      </c>
      <c r="D21" s="13">
        <v>6</v>
      </c>
      <c r="E21" s="14">
        <v>905.00213229131214</v>
      </c>
      <c r="F21" s="14">
        <v>1118.8541361517491</v>
      </c>
      <c r="G21" s="14">
        <v>6713.1248169104947</v>
      </c>
      <c r="H21" s="13">
        <v>6</v>
      </c>
      <c r="I21" s="13">
        <v>0</v>
      </c>
      <c r="J21" s="13">
        <v>6</v>
      </c>
      <c r="K21" s="13">
        <v>6713.1248169104947</v>
      </c>
      <c r="L21" s="13">
        <v>0</v>
      </c>
      <c r="M21" s="95">
        <v>6713.1248169104947</v>
      </c>
    </row>
    <row r="22" spans="1:13" ht="35.25" customHeight="1" x14ac:dyDescent="0.2">
      <c r="A22" s="94" t="s">
        <v>44</v>
      </c>
      <c r="B22" s="11" t="s">
        <v>45</v>
      </c>
      <c r="C22" s="12" t="s">
        <v>46</v>
      </c>
      <c r="D22" s="13">
        <v>275.08</v>
      </c>
      <c r="E22" s="13">
        <v>51.51</v>
      </c>
      <c r="F22" s="13">
        <v>63.68</v>
      </c>
      <c r="G22" s="14">
        <v>17517.094399999998</v>
      </c>
      <c r="H22" s="13">
        <v>275.08</v>
      </c>
      <c r="I22" s="13">
        <v>0</v>
      </c>
      <c r="J22" s="13">
        <v>275.08</v>
      </c>
      <c r="K22" s="13">
        <v>17517.094399999998</v>
      </c>
      <c r="L22" s="13">
        <v>0</v>
      </c>
      <c r="M22" s="95">
        <v>17517.094399999998</v>
      </c>
    </row>
    <row r="23" spans="1:13" x14ac:dyDescent="0.2">
      <c r="A23" s="94" t="s">
        <v>47</v>
      </c>
      <c r="B23" s="11" t="s">
        <v>48</v>
      </c>
      <c r="C23" s="12" t="s">
        <v>31</v>
      </c>
      <c r="D23" s="13">
        <v>40.5</v>
      </c>
      <c r="E23" s="13">
        <v>100.66</v>
      </c>
      <c r="F23" s="13">
        <v>124.44</v>
      </c>
      <c r="G23" s="14">
        <v>5039.82</v>
      </c>
      <c r="H23" s="13">
        <v>40.5</v>
      </c>
      <c r="I23" s="13">
        <v>0</v>
      </c>
      <c r="J23" s="13">
        <v>40.5</v>
      </c>
      <c r="K23" s="13">
        <v>5039.82</v>
      </c>
      <c r="L23" s="13">
        <v>0</v>
      </c>
      <c r="M23" s="95">
        <v>5039.82</v>
      </c>
    </row>
    <row r="24" spans="1:13" ht="39" customHeight="1" x14ac:dyDescent="0.2">
      <c r="A24" s="94" t="s">
        <v>49</v>
      </c>
      <c r="B24" s="11" t="s">
        <v>50</v>
      </c>
      <c r="C24" s="12" t="s">
        <v>31</v>
      </c>
      <c r="D24" s="13">
        <v>1876.5</v>
      </c>
      <c r="E24" s="13">
        <v>0.32</v>
      </c>
      <c r="F24" s="13">
        <v>0.39</v>
      </c>
      <c r="G24" s="14">
        <v>731.83500000000004</v>
      </c>
      <c r="H24" s="13">
        <v>1876.5</v>
      </c>
      <c r="I24" s="13">
        <v>0</v>
      </c>
      <c r="J24" s="13">
        <v>1876.5</v>
      </c>
      <c r="K24" s="13">
        <v>731.83500000000004</v>
      </c>
      <c r="L24" s="13">
        <v>0</v>
      </c>
      <c r="M24" s="95">
        <v>731.83500000000004</v>
      </c>
    </row>
    <row r="25" spans="1:13" ht="51.95" customHeight="1" x14ac:dyDescent="0.2">
      <c r="A25" s="94" t="s">
        <v>51</v>
      </c>
      <c r="B25" s="11" t="s">
        <v>52</v>
      </c>
      <c r="C25" s="12" t="s">
        <v>28</v>
      </c>
      <c r="D25" s="13">
        <v>1</v>
      </c>
      <c r="E25" s="13">
        <v>637.78</v>
      </c>
      <c r="F25" s="13">
        <v>788.48</v>
      </c>
      <c r="G25" s="14">
        <v>788.48</v>
      </c>
      <c r="H25" s="13">
        <v>1</v>
      </c>
      <c r="I25" s="13">
        <v>0</v>
      </c>
      <c r="J25" s="13">
        <v>1</v>
      </c>
      <c r="K25" s="13">
        <v>788.48</v>
      </c>
      <c r="L25" s="13">
        <v>0</v>
      </c>
      <c r="M25" s="95">
        <v>788.48</v>
      </c>
    </row>
    <row r="26" spans="1:13" ht="24" customHeight="1" x14ac:dyDescent="0.2">
      <c r="A26" s="96" t="s">
        <v>53</v>
      </c>
      <c r="B26" s="15" t="s">
        <v>54</v>
      </c>
      <c r="C26" s="15"/>
      <c r="D26" s="19"/>
      <c r="E26" s="18"/>
      <c r="F26" s="18"/>
      <c r="G26" s="19">
        <v>8471.4745999999996</v>
      </c>
      <c r="H26" s="19"/>
      <c r="I26" s="18"/>
      <c r="J26" s="19"/>
      <c r="K26" s="19">
        <v>8471.4745999999996</v>
      </c>
      <c r="L26" s="19">
        <v>0</v>
      </c>
      <c r="M26" s="97">
        <v>8471.4745999999996</v>
      </c>
    </row>
    <row r="27" spans="1:13" ht="29.25" customHeight="1" x14ac:dyDescent="0.2">
      <c r="A27" s="94" t="s">
        <v>55</v>
      </c>
      <c r="B27" s="11" t="s">
        <v>56</v>
      </c>
      <c r="C27" s="12" t="s">
        <v>31</v>
      </c>
      <c r="D27" s="13">
        <v>255.8</v>
      </c>
      <c r="E27" s="13">
        <v>16.239999999999998</v>
      </c>
      <c r="F27" s="13">
        <v>20.07</v>
      </c>
      <c r="G27" s="14">
        <v>5133.9059999999999</v>
      </c>
      <c r="H27" s="13">
        <v>255.8</v>
      </c>
      <c r="I27" s="13">
        <v>0</v>
      </c>
      <c r="J27" s="13">
        <v>255.8</v>
      </c>
      <c r="K27" s="13">
        <v>5133.9059999999999</v>
      </c>
      <c r="L27" s="13">
        <v>0</v>
      </c>
      <c r="M27" s="95">
        <v>5133.9059999999999</v>
      </c>
    </row>
    <row r="28" spans="1:13" ht="29.25" customHeight="1" x14ac:dyDescent="0.2">
      <c r="A28" s="94" t="s">
        <v>57</v>
      </c>
      <c r="B28" s="11" t="s">
        <v>58</v>
      </c>
      <c r="C28" s="12" t="s">
        <v>59</v>
      </c>
      <c r="D28" s="13">
        <v>39.58</v>
      </c>
      <c r="E28" s="13">
        <v>0</v>
      </c>
      <c r="F28" s="13">
        <v>55.73</v>
      </c>
      <c r="G28" s="14">
        <v>2205.7933999999996</v>
      </c>
      <c r="H28" s="13">
        <v>39.58</v>
      </c>
      <c r="I28" s="13">
        <v>0</v>
      </c>
      <c r="J28" s="13">
        <v>39.58</v>
      </c>
      <c r="K28" s="13">
        <v>2205.7933999999996</v>
      </c>
      <c r="L28" s="13">
        <v>0</v>
      </c>
      <c r="M28" s="95">
        <v>2205.7933999999996</v>
      </c>
    </row>
    <row r="29" spans="1:13" ht="29.25" customHeight="1" x14ac:dyDescent="0.2">
      <c r="A29" s="94" t="s">
        <v>1187</v>
      </c>
      <c r="B29" s="11" t="s">
        <v>1186</v>
      </c>
      <c r="C29" s="12" t="s">
        <v>59</v>
      </c>
      <c r="D29" s="13">
        <v>12.08</v>
      </c>
      <c r="E29" s="13">
        <v>45.08</v>
      </c>
      <c r="F29" s="13">
        <v>93.69</v>
      </c>
      <c r="G29" s="14">
        <v>1131.7752</v>
      </c>
      <c r="H29" s="13">
        <v>12.08</v>
      </c>
      <c r="I29" s="13">
        <v>0</v>
      </c>
      <c r="J29" s="13">
        <v>12.08</v>
      </c>
      <c r="K29" s="13">
        <v>1131.7752</v>
      </c>
      <c r="L29" s="13">
        <v>0</v>
      </c>
      <c r="M29" s="95">
        <v>1131.7752</v>
      </c>
    </row>
    <row r="30" spans="1:13" ht="24" customHeight="1" x14ac:dyDescent="0.2">
      <c r="A30" s="96" t="s">
        <v>60</v>
      </c>
      <c r="B30" s="15" t="s">
        <v>61</v>
      </c>
      <c r="C30" s="15"/>
      <c r="D30" s="19"/>
      <c r="E30" s="18"/>
      <c r="F30" s="18"/>
      <c r="G30" s="19">
        <v>1658984.71078766</v>
      </c>
      <c r="H30" s="19"/>
      <c r="I30" s="18"/>
      <c r="J30" s="19"/>
      <c r="K30" s="19">
        <v>1658984.7255696601</v>
      </c>
      <c r="L30" s="19">
        <v>0</v>
      </c>
      <c r="M30" s="97">
        <v>1658984.7255696601</v>
      </c>
    </row>
    <row r="31" spans="1:13" ht="24" customHeight="1" x14ac:dyDescent="0.2">
      <c r="A31" s="96" t="s">
        <v>62</v>
      </c>
      <c r="B31" s="15" t="s">
        <v>63</v>
      </c>
      <c r="C31" s="15"/>
      <c r="D31" s="19"/>
      <c r="E31" s="18"/>
      <c r="F31" s="18"/>
      <c r="G31" s="19">
        <v>380317.17500300007</v>
      </c>
      <c r="H31" s="19"/>
      <c r="I31" s="18"/>
      <c r="J31" s="19"/>
      <c r="K31" s="19">
        <v>380317.18361000001</v>
      </c>
      <c r="L31" s="19">
        <v>0</v>
      </c>
      <c r="M31" s="97">
        <v>380317.18361000001</v>
      </c>
    </row>
    <row r="32" spans="1:13" ht="65.099999999999994" customHeight="1" x14ac:dyDescent="0.2">
      <c r="A32" s="94" t="s">
        <v>64</v>
      </c>
      <c r="B32" s="11" t="s">
        <v>65</v>
      </c>
      <c r="C32" s="12" t="s">
        <v>59</v>
      </c>
      <c r="D32" s="13">
        <v>164.1</v>
      </c>
      <c r="E32" s="13">
        <v>15.85</v>
      </c>
      <c r="F32" s="13">
        <v>19.59</v>
      </c>
      <c r="G32" s="14">
        <v>3214.7190000000001</v>
      </c>
      <c r="H32" s="13">
        <v>164.1</v>
      </c>
      <c r="I32" s="13">
        <v>0</v>
      </c>
      <c r="J32" s="13">
        <v>164.1</v>
      </c>
      <c r="K32" s="13">
        <v>3214.7190000000001</v>
      </c>
      <c r="L32" s="13">
        <v>0</v>
      </c>
      <c r="M32" s="95">
        <v>3214.7190000000001</v>
      </c>
    </row>
    <row r="33" spans="1:13" ht="65.099999999999994" customHeight="1" x14ac:dyDescent="0.2">
      <c r="A33" s="94" t="s">
        <v>66</v>
      </c>
      <c r="B33" s="11" t="s">
        <v>67</v>
      </c>
      <c r="C33" s="12" t="s">
        <v>59</v>
      </c>
      <c r="D33" s="13">
        <v>3849.76</v>
      </c>
      <c r="E33" s="13">
        <v>29.43</v>
      </c>
      <c r="F33" s="13">
        <v>36.380000000000003</v>
      </c>
      <c r="G33" s="14">
        <v>140054.26880000002</v>
      </c>
      <c r="H33" s="13">
        <v>3849.76</v>
      </c>
      <c r="I33" s="13">
        <v>0</v>
      </c>
      <c r="J33" s="13">
        <v>3849.76</v>
      </c>
      <c r="K33" s="13">
        <v>140054.26880000002</v>
      </c>
      <c r="L33" s="13">
        <v>0</v>
      </c>
      <c r="M33" s="95">
        <v>140054.26880000002</v>
      </c>
    </row>
    <row r="34" spans="1:13" ht="39" customHeight="1" x14ac:dyDescent="0.2">
      <c r="A34" s="94" t="s">
        <v>68</v>
      </c>
      <c r="B34" s="11" t="s">
        <v>69</v>
      </c>
      <c r="C34" s="12" t="s">
        <v>70</v>
      </c>
      <c r="D34" s="13">
        <v>70365.421950000004</v>
      </c>
      <c r="E34" s="13">
        <v>2.16</v>
      </c>
      <c r="F34" s="13">
        <v>2.67</v>
      </c>
      <c r="G34" s="14">
        <v>187875.6766065</v>
      </c>
      <c r="H34" s="13">
        <v>70365.425000000003</v>
      </c>
      <c r="I34" s="13">
        <v>0</v>
      </c>
      <c r="J34" s="13">
        <v>70365.425000000003</v>
      </c>
      <c r="K34" s="13">
        <v>187875.68475000001</v>
      </c>
      <c r="L34" s="13">
        <v>0</v>
      </c>
      <c r="M34" s="95">
        <v>187875.68475000001</v>
      </c>
    </row>
    <row r="35" spans="1:13" ht="51.95" customHeight="1" x14ac:dyDescent="0.2">
      <c r="A35" s="94" t="s">
        <v>71</v>
      </c>
      <c r="B35" s="11" t="s">
        <v>72</v>
      </c>
      <c r="C35" s="12" t="s">
        <v>59</v>
      </c>
      <c r="D35" s="13">
        <v>5304.4779500000004</v>
      </c>
      <c r="E35" s="13">
        <v>7.5</v>
      </c>
      <c r="F35" s="13">
        <v>9.27</v>
      </c>
      <c r="G35" s="14">
        <v>49172.510596500004</v>
      </c>
      <c r="H35" s="13">
        <v>5304.4779999999992</v>
      </c>
      <c r="I35" s="13">
        <v>0</v>
      </c>
      <c r="J35" s="13">
        <v>5304.4779999999992</v>
      </c>
      <c r="K35" s="13">
        <v>49172.51105999999</v>
      </c>
      <c r="L35" s="13">
        <v>0</v>
      </c>
      <c r="M35" s="95">
        <v>49172.51105999999</v>
      </c>
    </row>
    <row r="36" spans="1:13" ht="24" customHeight="1" x14ac:dyDescent="0.2">
      <c r="A36" s="96" t="s">
        <v>73</v>
      </c>
      <c r="B36" s="15" t="s">
        <v>74</v>
      </c>
      <c r="C36" s="15"/>
      <c r="D36" s="19"/>
      <c r="E36" s="18"/>
      <c r="F36" s="18"/>
      <c r="G36" s="19">
        <v>422399.37</v>
      </c>
      <c r="H36" s="19"/>
      <c r="I36" s="18"/>
      <c r="J36" s="19"/>
      <c r="K36" s="19">
        <v>422399.37</v>
      </c>
      <c r="L36" s="19">
        <v>0</v>
      </c>
      <c r="M36" s="97">
        <v>422399.37</v>
      </c>
    </row>
    <row r="37" spans="1:13" ht="51.95" customHeight="1" x14ac:dyDescent="0.2">
      <c r="A37" s="94" t="s">
        <v>75</v>
      </c>
      <c r="B37" s="11" t="s">
        <v>76</v>
      </c>
      <c r="C37" s="12" t="s">
        <v>46</v>
      </c>
      <c r="D37" s="13">
        <v>3789</v>
      </c>
      <c r="E37" s="13">
        <v>88.4</v>
      </c>
      <c r="F37" s="13">
        <v>109.28</v>
      </c>
      <c r="G37" s="13">
        <v>414061.92</v>
      </c>
      <c r="H37" s="13">
        <v>3789</v>
      </c>
      <c r="I37" s="13">
        <v>0</v>
      </c>
      <c r="J37" s="13">
        <v>3789</v>
      </c>
      <c r="K37" s="13">
        <v>414061.92</v>
      </c>
      <c r="L37" s="13">
        <v>0</v>
      </c>
      <c r="M37" s="95">
        <v>414061.92</v>
      </c>
    </row>
    <row r="38" spans="1:13" ht="32.1" customHeight="1" x14ac:dyDescent="0.2">
      <c r="A38" s="94" t="s">
        <v>77</v>
      </c>
      <c r="B38" s="11" t="s">
        <v>78</v>
      </c>
      <c r="C38" s="12" t="s">
        <v>79</v>
      </c>
      <c r="D38" s="13">
        <v>0</v>
      </c>
      <c r="E38" s="13">
        <v>10.48</v>
      </c>
      <c r="F38" s="13">
        <v>12.95</v>
      </c>
      <c r="G38" s="13">
        <v>0</v>
      </c>
      <c r="H38" s="13">
        <v>0</v>
      </c>
      <c r="I38" s="13">
        <v>0</v>
      </c>
      <c r="J38" s="13">
        <v>0</v>
      </c>
      <c r="K38" s="13">
        <v>0</v>
      </c>
      <c r="L38" s="13">
        <v>0</v>
      </c>
      <c r="M38" s="95">
        <v>0</v>
      </c>
    </row>
    <row r="39" spans="1:13" ht="32.1" customHeight="1" x14ac:dyDescent="0.2">
      <c r="A39" s="94" t="s">
        <v>80</v>
      </c>
      <c r="B39" s="11" t="s">
        <v>81</v>
      </c>
      <c r="C39" s="12" t="s">
        <v>79</v>
      </c>
      <c r="D39" s="13">
        <v>505.3</v>
      </c>
      <c r="E39" s="13">
        <v>13.35</v>
      </c>
      <c r="F39" s="13">
        <v>16.5</v>
      </c>
      <c r="G39" s="13">
        <v>8337.4500000000007</v>
      </c>
      <c r="H39" s="13">
        <v>505.30000000000007</v>
      </c>
      <c r="I39" s="13">
        <v>0</v>
      </c>
      <c r="J39" s="13">
        <v>505.30000000000007</v>
      </c>
      <c r="K39" s="13">
        <v>8337.4500000000007</v>
      </c>
      <c r="L39" s="13">
        <v>0</v>
      </c>
      <c r="M39" s="95">
        <v>8337.4500000000007</v>
      </c>
    </row>
    <row r="40" spans="1:13" ht="24" customHeight="1" x14ac:dyDescent="0.2">
      <c r="A40" s="96" t="s">
        <v>82</v>
      </c>
      <c r="B40" s="15" t="s">
        <v>83</v>
      </c>
      <c r="C40" s="15"/>
      <c r="D40" s="19"/>
      <c r="E40" s="18"/>
      <c r="F40" s="18"/>
      <c r="G40" s="19">
        <v>856268.16578466003</v>
      </c>
      <c r="H40" s="19"/>
      <c r="I40" s="18"/>
      <c r="J40" s="19"/>
      <c r="K40" s="19">
        <v>856268.17195966002</v>
      </c>
      <c r="L40" s="19">
        <v>0</v>
      </c>
      <c r="M40" s="97">
        <v>856268.17195966002</v>
      </c>
    </row>
    <row r="41" spans="1:13" ht="24" customHeight="1" x14ac:dyDescent="0.2">
      <c r="A41" s="96" t="s">
        <v>84</v>
      </c>
      <c r="B41" s="15" t="s">
        <v>85</v>
      </c>
      <c r="C41" s="15"/>
      <c r="D41" s="19"/>
      <c r="E41" s="18"/>
      <c r="F41" s="18"/>
      <c r="G41" s="19">
        <v>313381.14984656003</v>
      </c>
      <c r="H41" s="19"/>
      <c r="I41" s="18"/>
      <c r="J41" s="19"/>
      <c r="K41" s="19">
        <v>313381.14984656003</v>
      </c>
      <c r="L41" s="19">
        <v>0</v>
      </c>
      <c r="M41" s="97">
        <v>313381.14984656003</v>
      </c>
    </row>
    <row r="42" spans="1:13" ht="51.95" customHeight="1" x14ac:dyDescent="0.2">
      <c r="A42" s="94" t="s">
        <v>86</v>
      </c>
      <c r="B42" s="11" t="s">
        <v>87</v>
      </c>
      <c r="C42" s="12" t="s">
        <v>46</v>
      </c>
      <c r="D42" s="13">
        <v>686.4</v>
      </c>
      <c r="E42" s="13">
        <v>127.94</v>
      </c>
      <c r="F42" s="13">
        <v>158.16999999999999</v>
      </c>
      <c r="G42" s="13">
        <v>108567.88799999999</v>
      </c>
      <c r="H42" s="13">
        <v>686.4</v>
      </c>
      <c r="I42" s="13">
        <v>0</v>
      </c>
      <c r="J42" s="13">
        <v>686.4</v>
      </c>
      <c r="K42" s="13">
        <v>108567.88799999999</v>
      </c>
      <c r="L42" s="13">
        <v>0</v>
      </c>
      <c r="M42" s="95">
        <v>108567.88799999999</v>
      </c>
    </row>
    <row r="43" spans="1:13" ht="30.95" customHeight="1" x14ac:dyDescent="0.2">
      <c r="A43" s="94" t="s">
        <v>88</v>
      </c>
      <c r="B43" s="11" t="s">
        <v>89</v>
      </c>
      <c r="C43" s="12" t="s">
        <v>59</v>
      </c>
      <c r="D43" s="13">
        <v>183.89160000000001</v>
      </c>
      <c r="E43" s="13">
        <v>0</v>
      </c>
      <c r="F43" s="13">
        <v>40.98</v>
      </c>
      <c r="G43" s="13">
        <v>7535.8777680000003</v>
      </c>
      <c r="H43" s="13">
        <v>183.89160000000001</v>
      </c>
      <c r="I43" s="13">
        <v>0</v>
      </c>
      <c r="J43" s="13">
        <v>183.89160000000001</v>
      </c>
      <c r="K43" s="13">
        <v>7535.8777680000003</v>
      </c>
      <c r="L43" s="13">
        <v>0</v>
      </c>
      <c r="M43" s="95">
        <v>7535.8777680000003</v>
      </c>
    </row>
    <row r="44" spans="1:13" ht="30.95" customHeight="1" x14ac:dyDescent="0.2">
      <c r="A44" s="98" t="s">
        <v>830</v>
      </c>
      <c r="B44" s="51" t="s">
        <v>710</v>
      </c>
      <c r="C44" s="52" t="s">
        <v>59</v>
      </c>
      <c r="D44" s="53">
        <v>337.95</v>
      </c>
      <c r="E44" s="13"/>
      <c r="F44" s="53">
        <v>55.35</v>
      </c>
      <c r="G44" s="13">
        <v>18705.532500000001</v>
      </c>
      <c r="H44" s="13">
        <v>337.95</v>
      </c>
      <c r="I44" s="13">
        <v>0</v>
      </c>
      <c r="J44" s="13">
        <v>337.95</v>
      </c>
      <c r="K44" s="13">
        <v>18705.532500000001</v>
      </c>
      <c r="L44" s="13">
        <v>0</v>
      </c>
      <c r="M44" s="95">
        <v>18705.532500000001</v>
      </c>
    </row>
    <row r="45" spans="1:13" ht="42.75" customHeight="1" x14ac:dyDescent="0.2">
      <c r="A45" s="98" t="s">
        <v>831</v>
      </c>
      <c r="B45" s="51" t="s">
        <v>832</v>
      </c>
      <c r="C45" s="52" t="s">
        <v>46</v>
      </c>
      <c r="D45" s="53">
        <v>980</v>
      </c>
      <c r="E45" s="13"/>
      <c r="F45" s="53">
        <v>152.5</v>
      </c>
      <c r="G45" s="13">
        <v>149450</v>
      </c>
      <c r="H45" s="13">
        <v>980</v>
      </c>
      <c r="I45" s="13">
        <v>0</v>
      </c>
      <c r="J45" s="13">
        <v>980</v>
      </c>
      <c r="K45" s="13">
        <v>149450</v>
      </c>
      <c r="L45" s="13">
        <v>0</v>
      </c>
      <c r="M45" s="95">
        <v>149450</v>
      </c>
    </row>
    <row r="46" spans="1:13" ht="30.95" customHeight="1" x14ac:dyDescent="0.2">
      <c r="A46" s="98" t="s">
        <v>833</v>
      </c>
      <c r="B46" s="51" t="s">
        <v>834</v>
      </c>
      <c r="C46" s="52" t="s">
        <v>28</v>
      </c>
      <c r="D46" s="53">
        <v>964</v>
      </c>
      <c r="E46" s="13">
        <v>0</v>
      </c>
      <c r="F46" s="53">
        <v>13.747655999999999</v>
      </c>
      <c r="G46" s="13">
        <v>13252.740383999999</v>
      </c>
      <c r="H46" s="13">
        <v>964</v>
      </c>
      <c r="I46" s="13">
        <v>0</v>
      </c>
      <c r="J46" s="13">
        <v>964</v>
      </c>
      <c r="K46" s="13">
        <v>13252.740383999999</v>
      </c>
      <c r="L46" s="13">
        <v>0</v>
      </c>
      <c r="M46" s="95">
        <v>13252.740383999999</v>
      </c>
    </row>
    <row r="47" spans="1:13" ht="43.5" customHeight="1" x14ac:dyDescent="0.2">
      <c r="A47" s="98" t="s">
        <v>835</v>
      </c>
      <c r="B47" s="51" t="s">
        <v>836</v>
      </c>
      <c r="C47" s="52" t="s">
        <v>59</v>
      </c>
      <c r="D47" s="53">
        <v>31.81</v>
      </c>
      <c r="E47" s="13">
        <v>33.15</v>
      </c>
      <c r="F47" s="53">
        <v>498.87177599999995</v>
      </c>
      <c r="G47" s="13">
        <v>15869.111194559999</v>
      </c>
      <c r="H47" s="13">
        <v>31.81</v>
      </c>
      <c r="I47" s="13">
        <v>0</v>
      </c>
      <c r="J47" s="13">
        <v>31.81</v>
      </c>
      <c r="K47" s="13">
        <v>15869.111194559999</v>
      </c>
      <c r="L47" s="13">
        <v>0</v>
      </c>
      <c r="M47" s="95">
        <v>15869.111194559999</v>
      </c>
    </row>
    <row r="48" spans="1:13" ht="24" customHeight="1" x14ac:dyDescent="0.2">
      <c r="A48" s="96" t="s">
        <v>90</v>
      </c>
      <c r="B48" s="15" t="s">
        <v>91</v>
      </c>
      <c r="C48" s="15"/>
      <c r="D48" s="19"/>
      <c r="E48" s="18"/>
      <c r="F48" s="18"/>
      <c r="G48" s="19">
        <v>542887.01593809994</v>
      </c>
      <c r="H48" s="19"/>
      <c r="I48" s="18"/>
      <c r="J48" s="19"/>
      <c r="K48" s="19">
        <v>542887.02211309993</v>
      </c>
      <c r="L48" s="19">
        <v>0</v>
      </c>
      <c r="M48" s="97">
        <v>542887.02211309993</v>
      </c>
    </row>
    <row r="49" spans="1:13" ht="39" customHeight="1" x14ac:dyDescent="0.2">
      <c r="A49" s="94" t="s">
        <v>92</v>
      </c>
      <c r="B49" s="11" t="s">
        <v>93</v>
      </c>
      <c r="C49" s="12" t="s">
        <v>59</v>
      </c>
      <c r="D49" s="13">
        <v>28</v>
      </c>
      <c r="E49" s="13">
        <v>618.26</v>
      </c>
      <c r="F49" s="13">
        <v>764.35</v>
      </c>
      <c r="G49" s="13">
        <v>21401.8</v>
      </c>
      <c r="H49" s="13">
        <v>28</v>
      </c>
      <c r="I49" s="13">
        <v>0</v>
      </c>
      <c r="J49" s="13">
        <v>28</v>
      </c>
      <c r="K49" s="13">
        <v>21401.8</v>
      </c>
      <c r="L49" s="13">
        <v>0</v>
      </c>
      <c r="M49" s="95">
        <v>21401.8</v>
      </c>
    </row>
    <row r="50" spans="1:13" ht="39" customHeight="1" x14ac:dyDescent="0.2">
      <c r="A50" s="94" t="s">
        <v>94</v>
      </c>
      <c r="B50" s="11" t="s">
        <v>95</v>
      </c>
      <c r="C50" s="12" t="s">
        <v>59</v>
      </c>
      <c r="D50" s="13">
        <v>162.87799999999999</v>
      </c>
      <c r="E50" s="13">
        <v>78.849999999999994</v>
      </c>
      <c r="F50" s="13">
        <v>97.48</v>
      </c>
      <c r="G50" s="13">
        <v>15877.34744</v>
      </c>
      <c r="H50" s="13">
        <v>162.87799999999999</v>
      </c>
      <c r="I50" s="13">
        <v>0</v>
      </c>
      <c r="J50" s="13">
        <v>162.87799999999999</v>
      </c>
      <c r="K50" s="13">
        <v>15877.34744</v>
      </c>
      <c r="L50" s="13">
        <v>0</v>
      </c>
      <c r="M50" s="95">
        <v>15877.34744</v>
      </c>
    </row>
    <row r="51" spans="1:13" ht="39" customHeight="1" x14ac:dyDescent="0.2">
      <c r="A51" s="94" t="s">
        <v>96</v>
      </c>
      <c r="B51" s="11" t="s">
        <v>97</v>
      </c>
      <c r="C51" s="12" t="s">
        <v>31</v>
      </c>
      <c r="D51" s="13">
        <v>1000.46</v>
      </c>
      <c r="E51" s="13">
        <v>119.28</v>
      </c>
      <c r="F51" s="13">
        <v>147.46</v>
      </c>
      <c r="G51" s="13">
        <v>147527.8316</v>
      </c>
      <c r="H51" s="13">
        <v>1000.46</v>
      </c>
      <c r="I51" s="13">
        <v>0</v>
      </c>
      <c r="J51" s="13">
        <v>1000.46</v>
      </c>
      <c r="K51" s="13">
        <v>147527.8316</v>
      </c>
      <c r="L51" s="13">
        <v>0</v>
      </c>
      <c r="M51" s="95">
        <v>147527.8316</v>
      </c>
    </row>
    <row r="52" spans="1:13" ht="26.25" customHeight="1" x14ac:dyDescent="0.2">
      <c r="A52" s="94" t="s">
        <v>98</v>
      </c>
      <c r="B52" s="11" t="s">
        <v>99</v>
      </c>
      <c r="C52" s="12" t="s">
        <v>59</v>
      </c>
      <c r="D52" s="13">
        <v>281.71325000000002</v>
      </c>
      <c r="E52" s="13">
        <v>68.319999999999993</v>
      </c>
      <c r="F52" s="13">
        <v>84.46</v>
      </c>
      <c r="G52" s="13">
        <v>23793.501095</v>
      </c>
      <c r="H52" s="13">
        <v>281.71325000000002</v>
      </c>
      <c r="I52" s="13">
        <v>0</v>
      </c>
      <c r="J52" s="13">
        <v>281.71325000000002</v>
      </c>
      <c r="K52" s="13">
        <v>23793.501095</v>
      </c>
      <c r="L52" s="13">
        <v>0</v>
      </c>
      <c r="M52" s="95">
        <v>23793.501095</v>
      </c>
    </row>
    <row r="53" spans="1:13" ht="39" customHeight="1" x14ac:dyDescent="0.2">
      <c r="A53" s="94" t="s">
        <v>100</v>
      </c>
      <c r="B53" s="11" t="s">
        <v>101</v>
      </c>
      <c r="C53" s="12" t="s">
        <v>31</v>
      </c>
      <c r="D53" s="13">
        <v>965.06999999999994</v>
      </c>
      <c r="E53" s="13">
        <v>2.73</v>
      </c>
      <c r="F53" s="13">
        <v>3.37</v>
      </c>
      <c r="G53" s="13">
        <v>3252.2858999999999</v>
      </c>
      <c r="H53" s="13">
        <v>965.07</v>
      </c>
      <c r="I53" s="13">
        <v>0</v>
      </c>
      <c r="J53" s="13">
        <v>965.07</v>
      </c>
      <c r="K53" s="13">
        <v>3252.2859000000003</v>
      </c>
      <c r="L53" s="13">
        <v>0</v>
      </c>
      <c r="M53" s="95">
        <v>3252.2859000000003</v>
      </c>
    </row>
    <row r="54" spans="1:13" ht="39" customHeight="1" x14ac:dyDescent="0.2">
      <c r="A54" s="94" t="s">
        <v>102</v>
      </c>
      <c r="B54" s="11" t="s">
        <v>103</v>
      </c>
      <c r="C54" s="12" t="s">
        <v>79</v>
      </c>
      <c r="D54" s="13">
        <v>1204.6600000000001</v>
      </c>
      <c r="E54" s="13">
        <v>11.82</v>
      </c>
      <c r="F54" s="13">
        <v>14.61</v>
      </c>
      <c r="G54" s="13">
        <v>17600.082600000002</v>
      </c>
      <c r="H54" s="13">
        <v>1204.6600000000001</v>
      </c>
      <c r="I54" s="13">
        <v>0</v>
      </c>
      <c r="J54" s="13">
        <v>1204.6600000000001</v>
      </c>
      <c r="K54" s="13">
        <v>17600.082600000002</v>
      </c>
      <c r="L54" s="13">
        <v>0</v>
      </c>
      <c r="M54" s="95">
        <v>17600.082600000002</v>
      </c>
    </row>
    <row r="55" spans="1:13" ht="30" customHeight="1" x14ac:dyDescent="0.2">
      <c r="A55" s="94" t="s">
        <v>104</v>
      </c>
      <c r="B55" s="11" t="s">
        <v>105</v>
      </c>
      <c r="C55" s="12" t="s">
        <v>79</v>
      </c>
      <c r="D55" s="13">
        <v>2329.8000000000002</v>
      </c>
      <c r="E55" s="13">
        <v>11.26</v>
      </c>
      <c r="F55" s="13">
        <v>13.92</v>
      </c>
      <c r="G55" s="13">
        <v>32430.816000000003</v>
      </c>
      <c r="H55" s="13">
        <v>2329.8000000000002</v>
      </c>
      <c r="I55" s="13">
        <v>0</v>
      </c>
      <c r="J55" s="13">
        <v>2329.8000000000002</v>
      </c>
      <c r="K55" s="13">
        <v>32430.816000000003</v>
      </c>
      <c r="L55" s="13">
        <v>0</v>
      </c>
      <c r="M55" s="95">
        <v>32430.816000000003</v>
      </c>
    </row>
    <row r="56" spans="1:13" ht="30" customHeight="1" x14ac:dyDescent="0.2">
      <c r="A56" s="94" t="s">
        <v>106</v>
      </c>
      <c r="B56" s="11" t="s">
        <v>107</v>
      </c>
      <c r="C56" s="12" t="s">
        <v>79</v>
      </c>
      <c r="D56" s="13">
        <v>1426.6999999999998</v>
      </c>
      <c r="E56" s="13">
        <v>10.66</v>
      </c>
      <c r="F56" s="13">
        <v>13.17</v>
      </c>
      <c r="G56" s="13">
        <v>18789.638999999999</v>
      </c>
      <c r="H56" s="13">
        <v>1426.7</v>
      </c>
      <c r="I56" s="13">
        <v>0</v>
      </c>
      <c r="J56" s="13">
        <v>1426.7</v>
      </c>
      <c r="K56" s="13">
        <v>18789.638999999999</v>
      </c>
      <c r="L56" s="13">
        <v>0</v>
      </c>
      <c r="M56" s="95">
        <v>18789.638999999999</v>
      </c>
    </row>
    <row r="57" spans="1:13" ht="30" customHeight="1" x14ac:dyDescent="0.2">
      <c r="A57" s="94" t="s">
        <v>108</v>
      </c>
      <c r="B57" s="11" t="s">
        <v>109</v>
      </c>
      <c r="C57" s="12" t="s">
        <v>79</v>
      </c>
      <c r="D57" s="13">
        <v>1712.4</v>
      </c>
      <c r="E57" s="13">
        <v>15.85</v>
      </c>
      <c r="F57" s="13">
        <v>19.59</v>
      </c>
      <c r="G57" s="13">
        <v>33545.916000000005</v>
      </c>
      <c r="H57" s="13">
        <v>1712.4</v>
      </c>
      <c r="I57" s="13">
        <v>0</v>
      </c>
      <c r="J57" s="13">
        <v>1712.4</v>
      </c>
      <c r="K57" s="13">
        <v>33545.916000000005</v>
      </c>
      <c r="L57" s="13">
        <v>0</v>
      </c>
      <c r="M57" s="95">
        <v>33545.916000000005</v>
      </c>
    </row>
    <row r="58" spans="1:13" ht="39" customHeight="1" x14ac:dyDescent="0.2">
      <c r="A58" s="94" t="s">
        <v>110</v>
      </c>
      <c r="B58" s="11" t="s">
        <v>111</v>
      </c>
      <c r="C58" s="12" t="s">
        <v>59</v>
      </c>
      <c r="D58" s="13">
        <v>23.928549999999998</v>
      </c>
      <c r="E58" s="13">
        <v>426.8</v>
      </c>
      <c r="F58" s="13">
        <v>527.65</v>
      </c>
      <c r="G58" s="13">
        <v>12625.899407499999</v>
      </c>
      <c r="H58" s="13">
        <v>23.928049999999999</v>
      </c>
      <c r="I58" s="13">
        <v>0</v>
      </c>
      <c r="J58" s="13">
        <v>23.928049999999999</v>
      </c>
      <c r="K58" s="13">
        <v>12625.895582499999</v>
      </c>
      <c r="L58" s="13">
        <v>0</v>
      </c>
      <c r="M58" s="95">
        <v>12625.895582499999</v>
      </c>
    </row>
    <row r="59" spans="1:13" ht="30" customHeight="1" x14ac:dyDescent="0.2">
      <c r="A59" s="94" t="s">
        <v>112</v>
      </c>
      <c r="B59" s="11" t="s">
        <v>113</v>
      </c>
      <c r="C59" s="12" t="s">
        <v>79</v>
      </c>
      <c r="D59" s="13">
        <v>1919.4999999999998</v>
      </c>
      <c r="E59" s="13">
        <v>11.82</v>
      </c>
      <c r="F59" s="13">
        <v>14.61</v>
      </c>
      <c r="G59" s="13">
        <v>28043.894999999997</v>
      </c>
      <c r="H59" s="13">
        <v>1919.4999999999998</v>
      </c>
      <c r="I59" s="13">
        <v>0</v>
      </c>
      <c r="J59" s="13">
        <v>1919.4999999999998</v>
      </c>
      <c r="K59" s="13">
        <v>28043.894999999997</v>
      </c>
      <c r="L59" s="13">
        <v>0</v>
      </c>
      <c r="M59" s="95">
        <v>28043.894999999997</v>
      </c>
    </row>
    <row r="60" spans="1:13" ht="30" customHeight="1" x14ac:dyDescent="0.2">
      <c r="A60" s="94" t="s">
        <v>114</v>
      </c>
      <c r="B60" s="11" t="s">
        <v>115</v>
      </c>
      <c r="C60" s="12" t="s">
        <v>79</v>
      </c>
      <c r="D60" s="13">
        <v>260.7</v>
      </c>
      <c r="E60" s="13">
        <v>11.53</v>
      </c>
      <c r="F60" s="13">
        <v>14.25</v>
      </c>
      <c r="G60" s="13">
        <v>3714.9749999999999</v>
      </c>
      <c r="H60" s="13">
        <v>260.7</v>
      </c>
      <c r="I60" s="13">
        <v>0</v>
      </c>
      <c r="J60" s="13">
        <v>260.7</v>
      </c>
      <c r="K60" s="13">
        <v>3714.9749999999999</v>
      </c>
      <c r="L60" s="13">
        <v>0</v>
      </c>
      <c r="M60" s="95">
        <v>3714.9749999999999</v>
      </c>
    </row>
    <row r="61" spans="1:13" ht="30" customHeight="1" x14ac:dyDescent="0.2">
      <c r="A61" s="94" t="s">
        <v>116</v>
      </c>
      <c r="B61" s="11" t="s">
        <v>117</v>
      </c>
      <c r="C61" s="12" t="s">
        <v>79</v>
      </c>
      <c r="D61" s="13">
        <v>1693</v>
      </c>
      <c r="E61" s="13">
        <v>14.84</v>
      </c>
      <c r="F61" s="13">
        <v>18.34</v>
      </c>
      <c r="G61" s="13">
        <v>31049.62</v>
      </c>
      <c r="H61" s="13">
        <v>1693</v>
      </c>
      <c r="I61" s="13">
        <v>0</v>
      </c>
      <c r="J61" s="13">
        <v>1693</v>
      </c>
      <c r="K61" s="13">
        <v>31049.62</v>
      </c>
      <c r="L61" s="13">
        <v>0</v>
      </c>
      <c r="M61" s="95">
        <v>31049.62</v>
      </c>
    </row>
    <row r="62" spans="1:13" ht="30" customHeight="1" x14ac:dyDescent="0.2">
      <c r="A62" s="94" t="s">
        <v>118</v>
      </c>
      <c r="B62" s="11" t="s">
        <v>119</v>
      </c>
      <c r="C62" s="12" t="s">
        <v>79</v>
      </c>
      <c r="D62" s="13">
        <v>379.74</v>
      </c>
      <c r="E62" s="13">
        <v>16.86</v>
      </c>
      <c r="F62" s="13">
        <v>20.84</v>
      </c>
      <c r="G62" s="13">
        <v>7913.7816000000003</v>
      </c>
      <c r="H62" s="13">
        <v>379.74</v>
      </c>
      <c r="I62" s="13">
        <v>0</v>
      </c>
      <c r="J62" s="13">
        <v>379.74</v>
      </c>
      <c r="K62" s="13">
        <v>7913.7816000000003</v>
      </c>
      <c r="L62" s="13">
        <v>0</v>
      </c>
      <c r="M62" s="95">
        <v>7913.7816000000003</v>
      </c>
    </row>
    <row r="63" spans="1:13" ht="45.75" customHeight="1" x14ac:dyDescent="0.2">
      <c r="A63" s="94" t="s">
        <v>837</v>
      </c>
      <c r="B63" s="51" t="s">
        <v>839</v>
      </c>
      <c r="C63" s="12" t="s">
        <v>59</v>
      </c>
      <c r="D63" s="53">
        <v>162.91299999999998</v>
      </c>
      <c r="E63" s="13"/>
      <c r="F63" s="13">
        <v>680.23</v>
      </c>
      <c r="G63" s="13">
        <v>110818.30998999999</v>
      </c>
      <c r="H63" s="13">
        <v>162.91300000000001</v>
      </c>
      <c r="I63" s="13">
        <v>0</v>
      </c>
      <c r="J63" s="13">
        <v>162.91300000000001</v>
      </c>
      <c r="K63" s="13">
        <v>110818.30999000001</v>
      </c>
      <c r="L63" s="13">
        <v>0</v>
      </c>
      <c r="M63" s="95">
        <v>110818.30999000001</v>
      </c>
    </row>
    <row r="64" spans="1:13" ht="30" customHeight="1" x14ac:dyDescent="0.2">
      <c r="A64" s="94" t="s">
        <v>838</v>
      </c>
      <c r="B64" s="51" t="s">
        <v>840</v>
      </c>
      <c r="C64" s="12" t="s">
        <v>79</v>
      </c>
      <c r="D64" s="53">
        <v>2428.7999999999997</v>
      </c>
      <c r="E64" s="13"/>
      <c r="F64" s="13">
        <v>14.205087000000001</v>
      </c>
      <c r="G64" s="13">
        <v>34501.315305600001</v>
      </c>
      <c r="H64" s="13">
        <v>2428.7999999999997</v>
      </c>
      <c r="I64" s="13">
        <v>0</v>
      </c>
      <c r="J64" s="13">
        <v>2428.7999999999997</v>
      </c>
      <c r="K64" s="13">
        <v>34501.315305600001</v>
      </c>
      <c r="L64" s="13">
        <v>0</v>
      </c>
      <c r="M64" s="95">
        <v>34501.315305600001</v>
      </c>
    </row>
    <row r="65" spans="1:13" ht="24" customHeight="1" x14ac:dyDescent="0.2">
      <c r="A65" s="96" t="s">
        <v>120</v>
      </c>
      <c r="B65" s="15" t="s">
        <v>121</v>
      </c>
      <c r="C65" s="15"/>
      <c r="D65" s="19"/>
      <c r="E65" s="18"/>
      <c r="F65" s="18"/>
      <c r="G65" s="19">
        <v>10726922.33358811</v>
      </c>
      <c r="H65" s="19"/>
      <c r="I65" s="18"/>
      <c r="J65" s="19"/>
      <c r="K65" s="19">
        <v>10714330.72108811</v>
      </c>
      <c r="L65" s="19">
        <v>0</v>
      </c>
      <c r="M65" s="97">
        <v>10714330.72108811</v>
      </c>
    </row>
    <row r="66" spans="1:13" ht="32.25" hidden="1" customHeight="1" x14ac:dyDescent="0.2">
      <c r="A66" s="94" t="s">
        <v>122</v>
      </c>
      <c r="B66" s="11" t="s">
        <v>123</v>
      </c>
      <c r="C66" s="12" t="s">
        <v>79</v>
      </c>
      <c r="D66" s="13">
        <v>637.54999999999995</v>
      </c>
      <c r="E66" s="13">
        <v>15.98</v>
      </c>
      <c r="F66" s="13">
        <v>19.75</v>
      </c>
      <c r="G66" s="13">
        <v>12591.612499999999</v>
      </c>
      <c r="H66" s="13">
        <v>0</v>
      </c>
      <c r="I66" s="13">
        <v>0</v>
      </c>
      <c r="J66" s="13">
        <v>0</v>
      </c>
      <c r="K66" s="13">
        <v>0</v>
      </c>
      <c r="L66" s="13">
        <v>0</v>
      </c>
      <c r="M66" s="95">
        <v>0</v>
      </c>
    </row>
    <row r="67" spans="1:13" ht="48" customHeight="1" x14ac:dyDescent="0.2">
      <c r="A67" s="94" t="s">
        <v>124</v>
      </c>
      <c r="B67" s="11" t="s">
        <v>125</v>
      </c>
      <c r="C67" s="12" t="s">
        <v>79</v>
      </c>
      <c r="D67" s="14">
        <v>244921</v>
      </c>
      <c r="E67" s="13">
        <v>28.331400477099997</v>
      </c>
      <c r="F67" s="13">
        <v>35.026110409838729</v>
      </c>
      <c r="G67" s="13">
        <v>8578629.9876881111</v>
      </c>
      <c r="H67" s="13">
        <v>244921</v>
      </c>
      <c r="I67" s="13">
        <v>0</v>
      </c>
      <c r="J67" s="13">
        <v>244921</v>
      </c>
      <c r="K67" s="13">
        <v>8578629.9876881111</v>
      </c>
      <c r="L67" s="13">
        <v>0</v>
      </c>
      <c r="M67" s="95">
        <v>8578629.9876881111</v>
      </c>
    </row>
    <row r="68" spans="1:13" ht="32.25" hidden="1" customHeight="1" x14ac:dyDescent="0.2">
      <c r="A68" s="94" t="s">
        <v>126</v>
      </c>
      <c r="B68" s="11" t="s">
        <v>127</v>
      </c>
      <c r="C68" s="12" t="s">
        <v>31</v>
      </c>
      <c r="D68" s="13">
        <v>0</v>
      </c>
      <c r="E68" s="13">
        <v>200.14249999999998</v>
      </c>
      <c r="F68" s="13">
        <v>247.43617274999997</v>
      </c>
      <c r="G68" s="13">
        <v>0</v>
      </c>
      <c r="H68" s="13">
        <v>0</v>
      </c>
      <c r="I68" s="13">
        <v>0</v>
      </c>
      <c r="J68" s="13">
        <v>0</v>
      </c>
      <c r="K68" s="13">
        <v>0</v>
      </c>
      <c r="L68" s="13">
        <v>0</v>
      </c>
      <c r="M68" s="95">
        <v>0</v>
      </c>
    </row>
    <row r="69" spans="1:13" ht="32.25" hidden="1" customHeight="1" x14ac:dyDescent="0.2">
      <c r="A69" s="94" t="s">
        <v>128</v>
      </c>
      <c r="B69" s="11" t="s">
        <v>129</v>
      </c>
      <c r="C69" s="12" t="s">
        <v>31</v>
      </c>
      <c r="D69" s="13">
        <v>0</v>
      </c>
      <c r="E69" s="13">
        <v>89.81</v>
      </c>
      <c r="F69" s="13">
        <v>111.03</v>
      </c>
      <c r="G69" s="13">
        <v>0</v>
      </c>
      <c r="H69" s="13">
        <v>0</v>
      </c>
      <c r="I69" s="13">
        <v>0</v>
      </c>
      <c r="J69" s="13">
        <v>0</v>
      </c>
      <c r="K69" s="13">
        <v>0</v>
      </c>
      <c r="L69" s="13">
        <v>0</v>
      </c>
      <c r="M69" s="95">
        <v>0</v>
      </c>
    </row>
    <row r="70" spans="1:13" ht="40.5" hidden="1" customHeight="1" x14ac:dyDescent="0.2">
      <c r="A70" s="94" t="s">
        <v>130</v>
      </c>
      <c r="B70" s="11" t="s">
        <v>131</v>
      </c>
      <c r="C70" s="12" t="s">
        <v>59</v>
      </c>
      <c r="D70" s="13">
        <v>0</v>
      </c>
      <c r="E70" s="13">
        <v>639.05999999999995</v>
      </c>
      <c r="F70" s="13">
        <v>790.06</v>
      </c>
      <c r="G70" s="13">
        <v>0</v>
      </c>
      <c r="H70" s="13">
        <v>0</v>
      </c>
      <c r="I70" s="13">
        <v>0</v>
      </c>
      <c r="J70" s="13">
        <v>0</v>
      </c>
      <c r="K70" s="13">
        <v>0</v>
      </c>
      <c r="L70" s="13">
        <v>0</v>
      </c>
      <c r="M70" s="95">
        <v>0</v>
      </c>
    </row>
    <row r="71" spans="1:13" ht="48" customHeight="1" x14ac:dyDescent="0.2">
      <c r="A71" s="98" t="s">
        <v>841</v>
      </c>
      <c r="B71" s="51" t="s">
        <v>842</v>
      </c>
      <c r="C71" s="52" t="s">
        <v>79</v>
      </c>
      <c r="D71" s="53">
        <v>1196.1600000000001</v>
      </c>
      <c r="E71" s="13"/>
      <c r="F71" s="13">
        <v>20.84</v>
      </c>
      <c r="G71" s="13">
        <v>24927.974400000003</v>
      </c>
      <c r="H71" s="13">
        <v>1196.1600000000001</v>
      </c>
      <c r="I71" s="13">
        <v>0</v>
      </c>
      <c r="J71" s="13">
        <v>1196.1600000000001</v>
      </c>
      <c r="K71" s="13">
        <v>24927.974400000003</v>
      </c>
      <c r="L71" s="13">
        <v>0</v>
      </c>
      <c r="M71" s="95">
        <v>24927.974400000003</v>
      </c>
    </row>
    <row r="72" spans="1:13" ht="43.5" customHeight="1" x14ac:dyDescent="0.2">
      <c r="A72" s="98" t="s">
        <v>843</v>
      </c>
      <c r="B72" s="51" t="s">
        <v>844</v>
      </c>
      <c r="C72" s="52" t="s">
        <v>79</v>
      </c>
      <c r="D72" s="53">
        <v>314.5</v>
      </c>
      <c r="E72" s="13"/>
      <c r="F72" s="13">
        <v>19.59</v>
      </c>
      <c r="G72" s="13">
        <v>6161.0550000000003</v>
      </c>
      <c r="H72" s="13">
        <v>314.5</v>
      </c>
      <c r="I72" s="13">
        <v>0</v>
      </c>
      <c r="J72" s="13">
        <v>314.5</v>
      </c>
      <c r="K72" s="13">
        <v>6161.0550000000003</v>
      </c>
      <c r="L72" s="13">
        <v>0</v>
      </c>
      <c r="M72" s="95">
        <v>6161.0550000000003</v>
      </c>
    </row>
    <row r="73" spans="1:13" ht="42" customHeight="1" x14ac:dyDescent="0.2">
      <c r="A73" s="98" t="s">
        <v>845</v>
      </c>
      <c r="B73" s="51" t="s">
        <v>846</v>
      </c>
      <c r="C73" s="52" t="s">
        <v>79</v>
      </c>
      <c r="D73" s="53">
        <v>2084.29</v>
      </c>
      <c r="E73" s="13"/>
      <c r="F73" s="13">
        <v>18.34</v>
      </c>
      <c r="G73" s="13">
        <v>38225.878599999996</v>
      </c>
      <c r="H73" s="13">
        <v>2084.29</v>
      </c>
      <c r="I73" s="13">
        <v>0</v>
      </c>
      <c r="J73" s="13">
        <v>2084.29</v>
      </c>
      <c r="K73" s="13">
        <v>38225.878599999996</v>
      </c>
      <c r="L73" s="13">
        <v>0</v>
      </c>
      <c r="M73" s="95">
        <v>38225.878599999996</v>
      </c>
    </row>
    <row r="74" spans="1:13" ht="48" customHeight="1" x14ac:dyDescent="0.2">
      <c r="A74" s="98" t="s">
        <v>847</v>
      </c>
      <c r="B74" s="51" t="s">
        <v>103</v>
      </c>
      <c r="C74" s="52" t="s">
        <v>79</v>
      </c>
      <c r="D74" s="53">
        <v>906.2</v>
      </c>
      <c r="E74" s="13"/>
      <c r="F74" s="13">
        <v>14.61</v>
      </c>
      <c r="G74" s="13">
        <v>13239.582</v>
      </c>
      <c r="H74" s="13">
        <v>906.2</v>
      </c>
      <c r="I74" s="13">
        <v>0</v>
      </c>
      <c r="J74" s="13">
        <v>906.2</v>
      </c>
      <c r="K74" s="13">
        <v>13239.582</v>
      </c>
      <c r="L74" s="13">
        <v>0</v>
      </c>
      <c r="M74" s="95">
        <v>13239.582</v>
      </c>
    </row>
    <row r="75" spans="1:13" ht="33.75" customHeight="1" x14ac:dyDescent="0.2">
      <c r="A75" s="98" t="s">
        <v>848</v>
      </c>
      <c r="B75" s="51" t="s">
        <v>849</v>
      </c>
      <c r="C75" s="52" t="s">
        <v>79</v>
      </c>
      <c r="D75" s="53">
        <v>1024.5999999999999</v>
      </c>
      <c r="E75" s="13"/>
      <c r="F75" s="13">
        <v>19.59</v>
      </c>
      <c r="G75" s="13">
        <v>20071.913999999997</v>
      </c>
      <c r="H75" s="13">
        <v>1024.5999999999999</v>
      </c>
      <c r="I75" s="13">
        <v>0</v>
      </c>
      <c r="J75" s="13">
        <v>1024.5999999999999</v>
      </c>
      <c r="K75" s="13">
        <v>20071.913999999997</v>
      </c>
      <c r="L75" s="13">
        <v>0</v>
      </c>
      <c r="M75" s="95">
        <v>20071.913999999997</v>
      </c>
    </row>
    <row r="76" spans="1:13" ht="36.75" customHeight="1" x14ac:dyDescent="0.2">
      <c r="A76" s="98" t="s">
        <v>850</v>
      </c>
      <c r="B76" s="51" t="s">
        <v>851</v>
      </c>
      <c r="C76" s="52" t="s">
        <v>79</v>
      </c>
      <c r="D76" s="53">
        <v>10999.2</v>
      </c>
      <c r="E76" s="13"/>
      <c r="F76" s="13">
        <v>18.34</v>
      </c>
      <c r="G76" s="13">
        <v>201725.32800000001</v>
      </c>
      <c r="H76" s="13">
        <v>10999.2</v>
      </c>
      <c r="I76" s="13">
        <v>0</v>
      </c>
      <c r="J76" s="13">
        <v>10999.2</v>
      </c>
      <c r="K76" s="13">
        <v>201725.32800000001</v>
      </c>
      <c r="L76" s="13">
        <v>0</v>
      </c>
      <c r="M76" s="95">
        <v>201725.32800000001</v>
      </c>
    </row>
    <row r="77" spans="1:13" ht="35.25" customHeight="1" x14ac:dyDescent="0.2">
      <c r="A77" s="98" t="s">
        <v>852</v>
      </c>
      <c r="B77" s="51" t="s">
        <v>853</v>
      </c>
      <c r="C77" s="52" t="s">
        <v>79</v>
      </c>
      <c r="D77" s="53">
        <v>2501.62</v>
      </c>
      <c r="E77" s="13"/>
      <c r="F77" s="13">
        <v>14.61</v>
      </c>
      <c r="G77" s="13">
        <v>36548.6682</v>
      </c>
      <c r="H77" s="13">
        <v>2501.62</v>
      </c>
      <c r="I77" s="13">
        <v>0</v>
      </c>
      <c r="J77" s="13">
        <v>2501.62</v>
      </c>
      <c r="K77" s="13">
        <v>36548.6682</v>
      </c>
      <c r="L77" s="13">
        <v>0</v>
      </c>
      <c r="M77" s="95">
        <v>36548.6682</v>
      </c>
    </row>
    <row r="78" spans="1:13" ht="34.5" customHeight="1" x14ac:dyDescent="0.2">
      <c r="A78" s="98" t="s">
        <v>854</v>
      </c>
      <c r="B78" s="51" t="s">
        <v>855</v>
      </c>
      <c r="C78" s="52" t="s">
        <v>79</v>
      </c>
      <c r="D78" s="53">
        <v>6.1</v>
      </c>
      <c r="E78" s="13"/>
      <c r="F78" s="13">
        <v>13.92</v>
      </c>
      <c r="G78" s="13">
        <v>84.911999999999992</v>
      </c>
      <c r="H78" s="13">
        <v>6.1</v>
      </c>
      <c r="I78" s="13">
        <v>0</v>
      </c>
      <c r="J78" s="13">
        <v>6.1</v>
      </c>
      <c r="K78" s="13">
        <v>84.911999999999992</v>
      </c>
      <c r="L78" s="13">
        <v>0</v>
      </c>
      <c r="M78" s="95">
        <v>84.911999999999992</v>
      </c>
    </row>
    <row r="79" spans="1:13" ht="38.25" customHeight="1" x14ac:dyDescent="0.2">
      <c r="A79" s="98" t="s">
        <v>856</v>
      </c>
      <c r="B79" s="51" t="s">
        <v>857</v>
      </c>
      <c r="C79" s="52" t="s">
        <v>79</v>
      </c>
      <c r="D79" s="53">
        <v>24.1</v>
      </c>
      <c r="E79" s="13"/>
      <c r="F79" s="13">
        <v>13.17</v>
      </c>
      <c r="G79" s="13">
        <v>317.39699999999999</v>
      </c>
      <c r="H79" s="13">
        <v>24.1</v>
      </c>
      <c r="I79" s="13">
        <v>0</v>
      </c>
      <c r="J79" s="13">
        <v>24.1</v>
      </c>
      <c r="K79" s="13">
        <v>317.39699999999999</v>
      </c>
      <c r="L79" s="13">
        <v>0</v>
      </c>
      <c r="M79" s="95">
        <v>317.39699999999999</v>
      </c>
    </row>
    <row r="80" spans="1:13" ht="24.75" customHeight="1" x14ac:dyDescent="0.2">
      <c r="A80" s="98" t="s">
        <v>858</v>
      </c>
      <c r="B80" s="51" t="s">
        <v>859</v>
      </c>
      <c r="C80" s="52" t="s">
        <v>31</v>
      </c>
      <c r="D80" s="53">
        <v>4479.59</v>
      </c>
      <c r="E80" s="13"/>
      <c r="F80" s="13">
        <v>159.19</v>
      </c>
      <c r="G80" s="13">
        <v>713105.93209999998</v>
      </c>
      <c r="H80" s="13">
        <v>4479.59</v>
      </c>
      <c r="I80" s="13">
        <v>0</v>
      </c>
      <c r="J80" s="13">
        <v>4479.59</v>
      </c>
      <c r="K80" s="13">
        <v>713105.93209999998</v>
      </c>
      <c r="L80" s="13">
        <v>0</v>
      </c>
      <c r="M80" s="95">
        <v>713105.93209999998</v>
      </c>
    </row>
    <row r="81" spans="1:13" ht="42" customHeight="1" x14ac:dyDescent="0.2">
      <c r="A81" s="98" t="s">
        <v>860</v>
      </c>
      <c r="B81" s="51" t="s">
        <v>861</v>
      </c>
      <c r="C81" s="52" t="s">
        <v>59</v>
      </c>
      <c r="D81" s="53">
        <v>577.16</v>
      </c>
      <c r="E81" s="13"/>
      <c r="F81" s="13">
        <v>641.38</v>
      </c>
      <c r="G81" s="13">
        <v>370178.88079999998</v>
      </c>
      <c r="H81" s="13">
        <v>577.16</v>
      </c>
      <c r="I81" s="13">
        <v>0</v>
      </c>
      <c r="J81" s="13">
        <v>577.16</v>
      </c>
      <c r="K81" s="13">
        <v>370178.88079999998</v>
      </c>
      <c r="L81" s="13">
        <v>0</v>
      </c>
      <c r="M81" s="95">
        <v>370178.88079999998</v>
      </c>
    </row>
    <row r="82" spans="1:13" ht="33" customHeight="1" x14ac:dyDescent="0.2">
      <c r="A82" s="98" t="s">
        <v>862</v>
      </c>
      <c r="B82" s="51" t="s">
        <v>863</v>
      </c>
      <c r="C82" s="52" t="s">
        <v>31</v>
      </c>
      <c r="D82" s="53">
        <v>4278.2299999999996</v>
      </c>
      <c r="E82" s="13"/>
      <c r="F82" s="13">
        <v>72.489999999999995</v>
      </c>
      <c r="G82" s="13">
        <v>310128.89269999997</v>
      </c>
      <c r="H82" s="13">
        <v>4278.2299999999996</v>
      </c>
      <c r="I82" s="13">
        <v>0</v>
      </c>
      <c r="J82" s="13">
        <v>4278.2299999999996</v>
      </c>
      <c r="K82" s="13">
        <v>310128.89269999997</v>
      </c>
      <c r="L82" s="13">
        <v>0</v>
      </c>
      <c r="M82" s="95">
        <v>310128.89269999997</v>
      </c>
    </row>
    <row r="83" spans="1:13" ht="33" customHeight="1" x14ac:dyDescent="0.2">
      <c r="A83" s="98" t="s">
        <v>1189</v>
      </c>
      <c r="B83" s="51" t="s">
        <v>1188</v>
      </c>
      <c r="C83" s="52" t="s">
        <v>31</v>
      </c>
      <c r="D83" s="53">
        <v>336.82</v>
      </c>
      <c r="E83" s="13"/>
      <c r="F83" s="13">
        <v>199.04</v>
      </c>
      <c r="G83" s="13">
        <v>67040.652799999996</v>
      </c>
      <c r="H83" s="13">
        <v>336.82</v>
      </c>
      <c r="I83" s="13">
        <v>0</v>
      </c>
      <c r="J83" s="13">
        <v>336.82</v>
      </c>
      <c r="K83" s="13">
        <v>67040.652799999996</v>
      </c>
      <c r="L83" s="13">
        <v>0</v>
      </c>
      <c r="M83" s="95">
        <v>67040.652799999996</v>
      </c>
    </row>
    <row r="84" spans="1:13" ht="33" customHeight="1" x14ac:dyDescent="0.2">
      <c r="A84" s="98" t="s">
        <v>1190</v>
      </c>
      <c r="B84" s="51" t="s">
        <v>1191</v>
      </c>
      <c r="C84" s="52" t="s">
        <v>31</v>
      </c>
      <c r="D84" s="53">
        <v>336.82</v>
      </c>
      <c r="E84" s="13"/>
      <c r="F84" s="13">
        <v>110.1</v>
      </c>
      <c r="G84" s="13">
        <v>37083.881999999998</v>
      </c>
      <c r="H84" s="13">
        <v>336.82</v>
      </c>
      <c r="I84" s="13">
        <v>0</v>
      </c>
      <c r="J84" s="13">
        <v>336.82</v>
      </c>
      <c r="K84" s="13">
        <v>37083.881999999998</v>
      </c>
      <c r="L84" s="13">
        <v>0</v>
      </c>
      <c r="M84" s="95">
        <v>37083.881999999998</v>
      </c>
    </row>
    <row r="85" spans="1:13" ht="33" customHeight="1" x14ac:dyDescent="0.2">
      <c r="A85" s="98" t="s">
        <v>1192</v>
      </c>
      <c r="B85" s="51" t="s">
        <v>1193</v>
      </c>
      <c r="C85" s="52" t="s">
        <v>31</v>
      </c>
      <c r="D85" s="53">
        <v>528.45000000000005</v>
      </c>
      <c r="E85" s="13"/>
      <c r="F85" s="13">
        <v>156.4</v>
      </c>
      <c r="G85" s="13">
        <v>82649.580000000016</v>
      </c>
      <c r="H85" s="13">
        <v>528.45000000000005</v>
      </c>
      <c r="I85" s="13">
        <v>0</v>
      </c>
      <c r="J85" s="13">
        <v>528.45000000000005</v>
      </c>
      <c r="K85" s="13">
        <v>82649.580000000016</v>
      </c>
      <c r="L85" s="13">
        <v>0</v>
      </c>
      <c r="M85" s="95">
        <v>82649.580000000016</v>
      </c>
    </row>
    <row r="86" spans="1:13" ht="33" customHeight="1" x14ac:dyDescent="0.2">
      <c r="A86" s="98" t="s">
        <v>1194</v>
      </c>
      <c r="B86" s="51" t="s">
        <v>1195</v>
      </c>
      <c r="C86" s="52" t="s">
        <v>31</v>
      </c>
      <c r="D86" s="53">
        <v>528.45000000000005</v>
      </c>
      <c r="E86" s="13"/>
      <c r="F86" s="13">
        <v>162.11000000000001</v>
      </c>
      <c r="G86" s="13">
        <v>85667.029500000019</v>
      </c>
      <c r="H86" s="13">
        <v>528.45000000000005</v>
      </c>
      <c r="I86" s="13">
        <v>0</v>
      </c>
      <c r="J86" s="13">
        <v>528.45000000000005</v>
      </c>
      <c r="K86" s="13">
        <v>85667.029500000019</v>
      </c>
      <c r="L86" s="13">
        <v>0</v>
      </c>
      <c r="M86" s="95">
        <v>85667.029500000019</v>
      </c>
    </row>
    <row r="87" spans="1:13" ht="33" customHeight="1" x14ac:dyDescent="0.2">
      <c r="A87" s="98" t="s">
        <v>1196</v>
      </c>
      <c r="B87" s="51" t="s">
        <v>1197</v>
      </c>
      <c r="C87" s="52" t="s">
        <v>31</v>
      </c>
      <c r="D87" s="53">
        <v>321.75</v>
      </c>
      <c r="E87" s="13"/>
      <c r="F87" s="13">
        <v>53.13</v>
      </c>
      <c r="G87" s="13">
        <v>17094.577499999999</v>
      </c>
      <c r="H87" s="13">
        <v>321.75</v>
      </c>
      <c r="I87" s="13">
        <v>0</v>
      </c>
      <c r="J87" s="13">
        <v>321.75</v>
      </c>
      <c r="K87" s="13">
        <v>17094.577499999999</v>
      </c>
      <c r="L87" s="13">
        <v>0</v>
      </c>
      <c r="M87" s="95">
        <v>17094.577499999999</v>
      </c>
    </row>
    <row r="88" spans="1:13" ht="33" customHeight="1" x14ac:dyDescent="0.2">
      <c r="A88" s="98" t="s">
        <v>1198</v>
      </c>
      <c r="B88" s="51" t="s">
        <v>1199</v>
      </c>
      <c r="C88" s="52" t="s">
        <v>31</v>
      </c>
      <c r="D88" s="53">
        <v>321.75</v>
      </c>
      <c r="E88" s="13"/>
      <c r="F88" s="13">
        <v>45.73</v>
      </c>
      <c r="G88" s="13">
        <v>14713.627499999999</v>
      </c>
      <c r="H88" s="13">
        <v>321.75</v>
      </c>
      <c r="I88" s="13">
        <v>0</v>
      </c>
      <c r="J88" s="13">
        <v>321.75</v>
      </c>
      <c r="K88" s="13">
        <v>14713.627499999999</v>
      </c>
      <c r="L88" s="13">
        <v>0</v>
      </c>
      <c r="M88" s="95">
        <v>14713.627499999999</v>
      </c>
    </row>
    <row r="89" spans="1:13" ht="33" customHeight="1" x14ac:dyDescent="0.2">
      <c r="A89" s="98" t="s">
        <v>1200</v>
      </c>
      <c r="B89" s="51" t="s">
        <v>1201</v>
      </c>
      <c r="C89" s="52" t="s">
        <v>46</v>
      </c>
      <c r="D89" s="53">
        <v>12.4</v>
      </c>
      <c r="E89" s="13"/>
      <c r="F89" s="13">
        <v>101.74</v>
      </c>
      <c r="G89" s="13">
        <v>1261.576</v>
      </c>
      <c r="H89" s="13">
        <v>12.4</v>
      </c>
      <c r="I89" s="13">
        <v>0</v>
      </c>
      <c r="J89" s="13">
        <v>12.4</v>
      </c>
      <c r="K89" s="13">
        <v>1261.576</v>
      </c>
      <c r="L89" s="13">
        <v>0</v>
      </c>
      <c r="M89" s="95">
        <v>1261.576</v>
      </c>
    </row>
    <row r="90" spans="1:13" ht="33" customHeight="1" x14ac:dyDescent="0.2">
      <c r="A90" s="98" t="s">
        <v>1202</v>
      </c>
      <c r="B90" s="51" t="s">
        <v>1203</v>
      </c>
      <c r="C90" s="52" t="s">
        <v>46</v>
      </c>
      <c r="D90" s="53">
        <v>211.1</v>
      </c>
      <c r="E90" s="13"/>
      <c r="F90" s="13">
        <v>88.61</v>
      </c>
      <c r="G90" s="13">
        <v>18705.571</v>
      </c>
      <c r="H90" s="13">
        <v>211.1</v>
      </c>
      <c r="I90" s="13">
        <v>0</v>
      </c>
      <c r="J90" s="13">
        <v>211.1</v>
      </c>
      <c r="K90" s="13">
        <v>18705.571</v>
      </c>
      <c r="L90" s="13">
        <v>0</v>
      </c>
      <c r="M90" s="95">
        <v>18705.571</v>
      </c>
    </row>
    <row r="91" spans="1:13" ht="33" customHeight="1" x14ac:dyDescent="0.2">
      <c r="A91" s="98" t="s">
        <v>1204</v>
      </c>
      <c r="B91" s="51" t="s">
        <v>1205</v>
      </c>
      <c r="C91" s="52" t="s">
        <v>46</v>
      </c>
      <c r="D91" s="53">
        <v>174.4</v>
      </c>
      <c r="E91" s="13"/>
      <c r="F91" s="13">
        <v>99.66</v>
      </c>
      <c r="G91" s="13">
        <v>17380.704000000002</v>
      </c>
      <c r="H91" s="13">
        <v>174.4</v>
      </c>
      <c r="I91" s="13">
        <v>0</v>
      </c>
      <c r="J91" s="13">
        <v>174.4</v>
      </c>
      <c r="K91" s="13">
        <v>17380.704000000002</v>
      </c>
      <c r="L91" s="13">
        <v>0</v>
      </c>
      <c r="M91" s="95">
        <v>17380.704000000002</v>
      </c>
    </row>
    <row r="92" spans="1:13" ht="33" customHeight="1" x14ac:dyDescent="0.2">
      <c r="A92" s="98" t="s">
        <v>1206</v>
      </c>
      <c r="B92" s="51" t="s">
        <v>1207</v>
      </c>
      <c r="C92" s="52" t="s">
        <v>46</v>
      </c>
      <c r="D92" s="53">
        <v>174.4</v>
      </c>
      <c r="E92" s="13"/>
      <c r="F92" s="13">
        <v>92.82</v>
      </c>
      <c r="G92" s="13">
        <v>16187.807999999999</v>
      </c>
      <c r="H92" s="13">
        <v>174.4</v>
      </c>
      <c r="I92" s="13">
        <v>0</v>
      </c>
      <c r="J92" s="13">
        <v>174.4</v>
      </c>
      <c r="K92" s="13">
        <v>16187.807999999999</v>
      </c>
      <c r="L92" s="13">
        <v>0</v>
      </c>
      <c r="M92" s="95">
        <v>16187.807999999999</v>
      </c>
    </row>
    <row r="93" spans="1:13" ht="33" customHeight="1" x14ac:dyDescent="0.2">
      <c r="A93" s="98" t="s">
        <v>1208</v>
      </c>
      <c r="B93" s="51" t="s">
        <v>1209</v>
      </c>
      <c r="C93" s="52" t="s">
        <v>46</v>
      </c>
      <c r="D93" s="53">
        <v>51.6</v>
      </c>
      <c r="E93" s="13"/>
      <c r="F93" s="13">
        <v>87.99</v>
      </c>
      <c r="G93" s="13">
        <v>4540.2839999999997</v>
      </c>
      <c r="H93" s="13">
        <v>51.6</v>
      </c>
      <c r="I93" s="13">
        <v>0</v>
      </c>
      <c r="J93" s="13">
        <v>51.6</v>
      </c>
      <c r="K93" s="13">
        <v>4540.2839999999997</v>
      </c>
      <c r="L93" s="13">
        <v>0</v>
      </c>
      <c r="M93" s="95">
        <v>4540.2839999999997</v>
      </c>
    </row>
    <row r="94" spans="1:13" ht="33" customHeight="1" x14ac:dyDescent="0.2">
      <c r="A94" s="98" t="s">
        <v>1210</v>
      </c>
      <c r="B94" s="51" t="s">
        <v>1211</v>
      </c>
      <c r="C94" s="52" t="s">
        <v>46</v>
      </c>
      <c r="D94" s="53">
        <v>51.6</v>
      </c>
      <c r="E94" s="13"/>
      <c r="F94" s="13">
        <v>82.66</v>
      </c>
      <c r="G94" s="13">
        <v>4265.2560000000003</v>
      </c>
      <c r="H94" s="13">
        <v>51.6</v>
      </c>
      <c r="I94" s="13">
        <v>0</v>
      </c>
      <c r="J94" s="13">
        <v>51.6</v>
      </c>
      <c r="K94" s="13">
        <v>4265.2560000000003</v>
      </c>
      <c r="L94" s="13">
        <v>0</v>
      </c>
      <c r="M94" s="95">
        <v>4265.2560000000003</v>
      </c>
    </row>
    <row r="95" spans="1:13" ht="33" customHeight="1" x14ac:dyDescent="0.2">
      <c r="A95" s="98" t="s">
        <v>1212</v>
      </c>
      <c r="B95" s="51" t="s">
        <v>1213</v>
      </c>
      <c r="C95" s="52" t="s">
        <v>1214</v>
      </c>
      <c r="D95" s="53">
        <v>56383.23</v>
      </c>
      <c r="E95" s="13"/>
      <c r="F95" s="13">
        <v>0.61</v>
      </c>
      <c r="G95" s="13">
        <v>34393.770300000004</v>
      </c>
      <c r="H95" s="13">
        <v>56383.23</v>
      </c>
      <c r="I95" s="13">
        <v>0</v>
      </c>
      <c r="J95" s="13">
        <v>56383.23</v>
      </c>
      <c r="K95" s="13">
        <v>34393.770300000004</v>
      </c>
      <c r="L95" s="13">
        <v>0</v>
      </c>
      <c r="M95" s="95">
        <v>34393.770300000004</v>
      </c>
    </row>
    <row r="96" spans="1:13" ht="24.75" customHeight="1" x14ac:dyDescent="0.2">
      <c r="A96" s="96" t="s">
        <v>132</v>
      </c>
      <c r="B96" s="15" t="s">
        <v>133</v>
      </c>
      <c r="C96" s="15"/>
      <c r="D96" s="19"/>
      <c r="E96" s="18"/>
      <c r="F96" s="18"/>
      <c r="G96" s="19">
        <v>753444.57232191018</v>
      </c>
      <c r="H96" s="19"/>
      <c r="I96" s="18"/>
      <c r="J96" s="19"/>
      <c r="K96" s="19">
        <v>625447.47931343166</v>
      </c>
      <c r="L96" s="19">
        <v>84945.901385504447</v>
      </c>
      <c r="M96" s="97">
        <v>710393.38069893606</v>
      </c>
    </row>
    <row r="97" spans="1:13" ht="42.75" customHeight="1" x14ac:dyDescent="0.2">
      <c r="A97" s="94" t="s">
        <v>134</v>
      </c>
      <c r="B97" s="11" t="s">
        <v>135</v>
      </c>
      <c r="C97" s="12" t="s">
        <v>31</v>
      </c>
      <c r="D97" s="13">
        <v>4783.45</v>
      </c>
      <c r="E97" s="13">
        <v>48.97</v>
      </c>
      <c r="F97" s="13">
        <v>60.54</v>
      </c>
      <c r="G97" s="13">
        <v>289590.06299999997</v>
      </c>
      <c r="H97" s="13">
        <v>4783.45</v>
      </c>
      <c r="I97" s="13">
        <v>0</v>
      </c>
      <c r="J97" s="13">
        <v>4783.45</v>
      </c>
      <c r="K97" s="13">
        <v>289590.06299999997</v>
      </c>
      <c r="L97" s="13">
        <v>0</v>
      </c>
      <c r="M97" s="95">
        <v>289590.06299999997</v>
      </c>
    </row>
    <row r="98" spans="1:13" ht="24.75" customHeight="1" x14ac:dyDescent="0.2">
      <c r="A98" s="94" t="s">
        <v>136</v>
      </c>
      <c r="B98" s="11" t="s">
        <v>137</v>
      </c>
      <c r="C98" s="12" t="s">
        <v>31</v>
      </c>
      <c r="D98" s="13">
        <v>1582.23</v>
      </c>
      <c r="E98" s="13">
        <v>133.0293231</v>
      </c>
      <c r="F98" s="13">
        <v>164.46415214852999</v>
      </c>
      <c r="G98" s="13">
        <v>260220.11545396861</v>
      </c>
      <c r="H98" s="13">
        <v>1265.8599999999999</v>
      </c>
      <c r="I98" s="13">
        <v>316.37</v>
      </c>
      <c r="J98" s="13">
        <v>1582.23</v>
      </c>
      <c r="K98" s="13">
        <v>208188.59163873814</v>
      </c>
      <c r="L98" s="13">
        <v>52031.523815230437</v>
      </c>
      <c r="M98" s="95">
        <v>260220.11545396861</v>
      </c>
    </row>
    <row r="99" spans="1:13" ht="24.75" customHeight="1" x14ac:dyDescent="0.2">
      <c r="A99" s="94" t="s">
        <v>138</v>
      </c>
      <c r="B99" s="11" t="s">
        <v>139</v>
      </c>
      <c r="C99" s="12" t="s">
        <v>31</v>
      </c>
      <c r="D99" s="13">
        <v>69.7</v>
      </c>
      <c r="E99" s="13">
        <v>454.69917899999996</v>
      </c>
      <c r="F99" s="13">
        <v>562.14459499769998</v>
      </c>
      <c r="G99" s="13">
        <v>39181.478271339693</v>
      </c>
      <c r="H99" s="13">
        <v>30</v>
      </c>
      <c r="I99" s="13">
        <v>15.5</v>
      </c>
      <c r="J99" s="13">
        <v>45.5</v>
      </c>
      <c r="K99" s="13">
        <v>16864.337849930998</v>
      </c>
      <c r="L99" s="13">
        <v>8713.2412224643504</v>
      </c>
      <c r="M99" s="95">
        <v>25577.579072395351</v>
      </c>
    </row>
    <row r="100" spans="1:13" ht="46.5" customHeight="1" x14ac:dyDescent="0.2">
      <c r="A100" s="94" t="s">
        <v>140</v>
      </c>
      <c r="B100" s="11" t="s">
        <v>141</v>
      </c>
      <c r="C100" s="12" t="s">
        <v>31</v>
      </c>
      <c r="D100" s="13">
        <v>275.66000000000003</v>
      </c>
      <c r="E100" s="13">
        <v>121.35</v>
      </c>
      <c r="F100" s="13">
        <v>150.02000000000001</v>
      </c>
      <c r="G100" s="13">
        <v>41354.513200000009</v>
      </c>
      <c r="H100" s="13">
        <v>275.66000000000003</v>
      </c>
      <c r="I100" s="13"/>
      <c r="J100" s="13">
        <v>275.66000000000003</v>
      </c>
      <c r="K100" s="13">
        <v>41354.513200000009</v>
      </c>
      <c r="L100" s="13">
        <v>0</v>
      </c>
      <c r="M100" s="95">
        <v>41354.513200000009</v>
      </c>
    </row>
    <row r="101" spans="1:13" ht="24.75" customHeight="1" x14ac:dyDescent="0.2">
      <c r="A101" s="94" t="s">
        <v>142</v>
      </c>
      <c r="B101" s="11" t="s">
        <v>143</v>
      </c>
      <c r="C101" s="12" t="s">
        <v>31</v>
      </c>
      <c r="D101" s="13">
        <v>182.58</v>
      </c>
      <c r="E101" s="13">
        <v>0</v>
      </c>
      <c r="F101" s="13">
        <v>498.68403766350002</v>
      </c>
      <c r="G101" s="13">
        <v>91049.731596601836</v>
      </c>
      <c r="H101" s="13">
        <v>75</v>
      </c>
      <c r="I101" s="344">
        <v>48.53</v>
      </c>
      <c r="J101" s="13">
        <v>123.53</v>
      </c>
      <c r="K101" s="13">
        <v>37401.302824762504</v>
      </c>
      <c r="L101" s="13">
        <v>24201.136347809657</v>
      </c>
      <c r="M101" s="95">
        <v>61602.439172572158</v>
      </c>
    </row>
    <row r="102" spans="1:13" ht="24.75" customHeight="1" x14ac:dyDescent="0.2">
      <c r="A102" s="98" t="s">
        <v>1215</v>
      </c>
      <c r="B102" s="51" t="s">
        <v>1216</v>
      </c>
      <c r="C102" s="52" t="s">
        <v>46</v>
      </c>
      <c r="D102" s="13">
        <v>1927.16</v>
      </c>
      <c r="E102" s="13"/>
      <c r="F102" s="13">
        <v>16.63</v>
      </c>
      <c r="G102" s="13">
        <v>32048.6708</v>
      </c>
      <c r="H102" s="13">
        <v>1927.16</v>
      </c>
      <c r="I102" s="13">
        <v>0</v>
      </c>
      <c r="J102" s="13">
        <v>1927.16</v>
      </c>
      <c r="K102" s="13">
        <v>32048.6708</v>
      </c>
      <c r="L102" s="13">
        <v>0</v>
      </c>
      <c r="M102" s="95">
        <v>32048.6708</v>
      </c>
    </row>
    <row r="103" spans="1:13" ht="24.75" customHeight="1" x14ac:dyDescent="0.2">
      <c r="A103" s="96" t="s">
        <v>144</v>
      </c>
      <c r="B103" s="15" t="s">
        <v>145</v>
      </c>
      <c r="C103" s="15"/>
      <c r="D103" s="19"/>
      <c r="E103" s="18"/>
      <c r="F103" s="18"/>
      <c r="G103" s="19">
        <v>184532.17667886865</v>
      </c>
      <c r="H103" s="19"/>
      <c r="I103" s="18"/>
      <c r="J103" s="19"/>
      <c r="K103" s="19">
        <v>129288.81065921808</v>
      </c>
      <c r="L103" s="19">
        <v>29644.45552595456</v>
      </c>
      <c r="M103" s="97">
        <v>158933.26618517266</v>
      </c>
    </row>
    <row r="104" spans="1:13" ht="42.75" customHeight="1" x14ac:dyDescent="0.2">
      <c r="A104" s="94" t="s">
        <v>146</v>
      </c>
      <c r="B104" s="11" t="s">
        <v>147</v>
      </c>
      <c r="C104" s="12" t="s">
        <v>46</v>
      </c>
      <c r="D104" s="13">
        <v>942.37</v>
      </c>
      <c r="E104" s="13">
        <v>91.113440000000011</v>
      </c>
      <c r="F104" s="13">
        <v>112.64354587200002</v>
      </c>
      <c r="G104" s="13">
        <v>106151.89832339666</v>
      </c>
      <c r="H104" s="13">
        <v>753.89</v>
      </c>
      <c r="I104" s="13">
        <v>188.48</v>
      </c>
      <c r="J104" s="13">
        <v>942.37</v>
      </c>
      <c r="K104" s="13">
        <v>84920.842797442092</v>
      </c>
      <c r="L104" s="13">
        <v>21231.055525954562</v>
      </c>
      <c r="M104" s="95">
        <v>106151.89832339666</v>
      </c>
    </row>
    <row r="105" spans="1:13" ht="24.75" customHeight="1" x14ac:dyDescent="0.2">
      <c r="A105" s="94" t="s">
        <v>148</v>
      </c>
      <c r="B105" s="11" t="s">
        <v>149</v>
      </c>
      <c r="C105" s="12" t="s">
        <v>46</v>
      </c>
      <c r="D105" s="13">
        <v>844.5</v>
      </c>
      <c r="E105" s="13">
        <v>21.96</v>
      </c>
      <c r="F105" s="13">
        <v>27.14</v>
      </c>
      <c r="G105" s="13">
        <v>22919.73</v>
      </c>
      <c r="H105" s="13">
        <v>0</v>
      </c>
      <c r="I105" s="13">
        <v>310</v>
      </c>
      <c r="J105" s="13">
        <v>310</v>
      </c>
      <c r="K105" s="13">
        <v>0</v>
      </c>
      <c r="L105" s="13">
        <v>8413.4</v>
      </c>
      <c r="M105" s="95">
        <v>8413.4</v>
      </c>
    </row>
    <row r="106" spans="1:13" ht="24.75" customHeight="1" x14ac:dyDescent="0.2">
      <c r="A106" s="94" t="s">
        <v>150</v>
      </c>
      <c r="B106" s="11" t="s">
        <v>151</v>
      </c>
      <c r="C106" s="12" t="s">
        <v>31</v>
      </c>
      <c r="D106" s="13">
        <v>706.77</v>
      </c>
      <c r="E106" s="13">
        <v>63.472000000000008</v>
      </c>
      <c r="F106" s="13">
        <v>78.470433600000007</v>
      </c>
      <c r="G106" s="13">
        <v>55460.548355472005</v>
      </c>
      <c r="H106" s="13">
        <v>565.41</v>
      </c>
      <c r="I106" s="13">
        <v>0</v>
      </c>
      <c r="J106" s="13">
        <v>565.41</v>
      </c>
      <c r="K106" s="13">
        <v>44367.967861776</v>
      </c>
      <c r="L106" s="13">
        <v>0</v>
      </c>
      <c r="M106" s="95">
        <v>44367.967861776</v>
      </c>
    </row>
    <row r="107" spans="1:13" ht="24.75" customHeight="1" x14ac:dyDescent="0.2">
      <c r="A107" s="96" t="s">
        <v>152</v>
      </c>
      <c r="B107" s="15" t="s">
        <v>153</v>
      </c>
      <c r="C107" s="15"/>
      <c r="D107" s="19"/>
      <c r="E107" s="18"/>
      <c r="F107" s="18"/>
      <c r="G107" s="19">
        <v>181920.45203577878</v>
      </c>
      <c r="H107" s="19"/>
      <c r="I107" s="18"/>
      <c r="J107" s="19"/>
      <c r="K107" s="19">
        <v>147883.63652047983</v>
      </c>
      <c r="L107" s="19">
        <v>7963.4064000000008</v>
      </c>
      <c r="M107" s="97">
        <v>155847.04292047984</v>
      </c>
    </row>
    <row r="108" spans="1:13" ht="24.75" customHeight="1" x14ac:dyDescent="0.2">
      <c r="A108" s="96" t="s">
        <v>154</v>
      </c>
      <c r="B108" s="15" t="s">
        <v>155</v>
      </c>
      <c r="C108" s="15"/>
      <c r="D108" s="19"/>
      <c r="E108" s="18"/>
      <c r="F108" s="18"/>
      <c r="G108" s="19">
        <v>59137.107607038997</v>
      </c>
      <c r="H108" s="19"/>
      <c r="I108" s="18"/>
      <c r="J108" s="19"/>
      <c r="K108" s="19">
        <v>53434.421207038999</v>
      </c>
      <c r="L108" s="19">
        <v>5702.6864000000005</v>
      </c>
      <c r="M108" s="97">
        <v>59137.107607038997</v>
      </c>
    </row>
    <row r="109" spans="1:13" ht="42.75" customHeight="1" x14ac:dyDescent="0.2">
      <c r="A109" s="94" t="s">
        <v>156</v>
      </c>
      <c r="B109" s="11" t="s">
        <v>157</v>
      </c>
      <c r="C109" s="12" t="s">
        <v>46</v>
      </c>
      <c r="D109" s="13">
        <v>352</v>
      </c>
      <c r="E109" s="13">
        <v>21.754468079999995</v>
      </c>
      <c r="F109" s="13">
        <v>26.895048887303993</v>
      </c>
      <c r="G109" s="13">
        <v>9467.0572083310053</v>
      </c>
      <c r="H109" s="13">
        <v>352</v>
      </c>
      <c r="I109" s="13">
        <v>0</v>
      </c>
      <c r="J109" s="13">
        <v>352</v>
      </c>
      <c r="K109" s="13">
        <v>9467.0572083310053</v>
      </c>
      <c r="L109" s="13">
        <v>0</v>
      </c>
      <c r="M109" s="95">
        <v>9467.0572083310053</v>
      </c>
    </row>
    <row r="110" spans="1:13" ht="43.5" customHeight="1" x14ac:dyDescent="0.2">
      <c r="A110" s="94" t="s">
        <v>158</v>
      </c>
      <c r="B110" s="11" t="s">
        <v>159</v>
      </c>
      <c r="C110" s="12" t="s">
        <v>46</v>
      </c>
      <c r="D110" s="13">
        <v>352</v>
      </c>
      <c r="E110" s="13">
        <v>41.924965599999993</v>
      </c>
      <c r="F110" s="13">
        <v>51.831834971279989</v>
      </c>
      <c r="G110" s="13">
        <v>18244.805909890558</v>
      </c>
      <c r="H110" s="13">
        <v>352</v>
      </c>
      <c r="I110" s="13">
        <v>0</v>
      </c>
      <c r="J110" s="13">
        <v>352</v>
      </c>
      <c r="K110" s="13">
        <v>18244.805909890558</v>
      </c>
      <c r="L110" s="13">
        <v>0</v>
      </c>
      <c r="M110" s="95">
        <v>18244.805909890558</v>
      </c>
    </row>
    <row r="111" spans="1:13" ht="40.5" customHeight="1" x14ac:dyDescent="0.2">
      <c r="A111" s="94" t="s">
        <v>160</v>
      </c>
      <c r="B111" s="11" t="s">
        <v>161</v>
      </c>
      <c r="C111" s="12" t="s">
        <v>46</v>
      </c>
      <c r="D111" s="13">
        <v>220</v>
      </c>
      <c r="E111" s="13">
        <v>33.394647919999997</v>
      </c>
      <c r="F111" s="13">
        <v>41.285803223495996</v>
      </c>
      <c r="G111" s="13">
        <v>9082.8767091691188</v>
      </c>
      <c r="H111" s="13">
        <v>220</v>
      </c>
      <c r="I111" s="13">
        <v>0</v>
      </c>
      <c r="J111" s="13">
        <v>220</v>
      </c>
      <c r="K111" s="13">
        <v>9082.8767091691188</v>
      </c>
      <c r="L111" s="13">
        <v>0</v>
      </c>
      <c r="M111" s="95">
        <v>9082.8767091691188</v>
      </c>
    </row>
    <row r="112" spans="1:13" ht="38.25" hidden="1" customHeight="1" x14ac:dyDescent="0.2">
      <c r="A112" s="94" t="s">
        <v>162</v>
      </c>
      <c r="B112" s="11" t="s">
        <v>163</v>
      </c>
      <c r="C112" s="12" t="s">
        <v>46</v>
      </c>
      <c r="D112" s="13">
        <v>0</v>
      </c>
      <c r="E112" s="13">
        <v>55.781244319999999</v>
      </c>
      <c r="F112" s="13">
        <v>68.962352352815998</v>
      </c>
      <c r="G112" s="13">
        <v>0</v>
      </c>
      <c r="H112" s="13">
        <v>0</v>
      </c>
      <c r="I112" s="13">
        <v>0</v>
      </c>
      <c r="J112" s="13">
        <v>0</v>
      </c>
      <c r="K112" s="13">
        <v>0</v>
      </c>
      <c r="L112" s="13">
        <v>0</v>
      </c>
      <c r="M112" s="95">
        <v>0</v>
      </c>
    </row>
    <row r="113" spans="1:13" ht="39" customHeight="1" x14ac:dyDescent="0.2">
      <c r="A113" s="94" t="s">
        <v>164</v>
      </c>
      <c r="B113" s="11" t="s">
        <v>165</v>
      </c>
      <c r="C113" s="12" t="s">
        <v>46</v>
      </c>
      <c r="D113" s="13">
        <v>220</v>
      </c>
      <c r="E113" s="13">
        <v>50.583785119999995</v>
      </c>
      <c r="F113" s="13">
        <v>62.536733543855995</v>
      </c>
      <c r="G113" s="13">
        <v>13758.081379648318</v>
      </c>
      <c r="H113" s="13">
        <v>220</v>
      </c>
      <c r="I113" s="13">
        <v>0</v>
      </c>
      <c r="J113" s="13">
        <v>220</v>
      </c>
      <c r="K113" s="13">
        <v>13758.081379648318</v>
      </c>
      <c r="L113" s="13">
        <v>0</v>
      </c>
      <c r="M113" s="95">
        <v>13758.081379648318</v>
      </c>
    </row>
    <row r="114" spans="1:13" ht="41.25" hidden="1" customHeight="1" x14ac:dyDescent="0.2">
      <c r="A114" s="94" t="s">
        <v>166</v>
      </c>
      <c r="B114" s="11" t="s">
        <v>167</v>
      </c>
      <c r="C114" s="12" t="s">
        <v>46</v>
      </c>
      <c r="D114" s="13">
        <v>0</v>
      </c>
      <c r="E114" s="13">
        <v>76.955122159999988</v>
      </c>
      <c r="F114" s="13">
        <v>95.139617526407989</v>
      </c>
      <c r="G114" s="13">
        <v>0</v>
      </c>
      <c r="H114" s="13">
        <v>0</v>
      </c>
      <c r="I114" s="13">
        <v>0</v>
      </c>
      <c r="J114" s="13">
        <v>0</v>
      </c>
      <c r="K114" s="13">
        <v>0</v>
      </c>
      <c r="L114" s="13">
        <v>0</v>
      </c>
      <c r="M114" s="95">
        <v>0</v>
      </c>
    </row>
    <row r="115" spans="1:13" ht="40.5" hidden="1" customHeight="1" x14ac:dyDescent="0.2">
      <c r="A115" s="94" t="s">
        <v>168</v>
      </c>
      <c r="B115" s="11" t="s">
        <v>169</v>
      </c>
      <c r="C115" s="12" t="s">
        <v>46</v>
      </c>
      <c r="D115" s="13">
        <v>0</v>
      </c>
      <c r="E115" s="13">
        <v>88.776238399999983</v>
      </c>
      <c r="F115" s="13">
        <v>109.75406353391998</v>
      </c>
      <c r="G115" s="13">
        <v>0</v>
      </c>
      <c r="H115" s="13">
        <v>0</v>
      </c>
      <c r="I115" s="13">
        <v>0</v>
      </c>
      <c r="J115" s="13">
        <v>0</v>
      </c>
      <c r="K115" s="13">
        <v>0</v>
      </c>
      <c r="L115" s="13">
        <v>0</v>
      </c>
      <c r="M115" s="95">
        <v>0</v>
      </c>
    </row>
    <row r="116" spans="1:13" ht="24.75" customHeight="1" x14ac:dyDescent="0.2">
      <c r="A116" s="94" t="s">
        <v>170</v>
      </c>
      <c r="B116" s="11" t="s">
        <v>171</v>
      </c>
      <c r="C116" s="12" t="s">
        <v>172</v>
      </c>
      <c r="D116" s="13">
        <v>59.58</v>
      </c>
      <c r="E116" s="13">
        <v>124.54</v>
      </c>
      <c r="F116" s="13">
        <v>144.08000000000001</v>
      </c>
      <c r="G116" s="13">
        <v>8584.2864000000009</v>
      </c>
      <c r="H116" s="13">
        <v>20</v>
      </c>
      <c r="I116" s="13">
        <v>39.58</v>
      </c>
      <c r="J116" s="13">
        <v>59.58</v>
      </c>
      <c r="K116" s="13">
        <v>2881.6000000000004</v>
      </c>
      <c r="L116" s="13">
        <v>5702.6864000000005</v>
      </c>
      <c r="M116" s="95">
        <v>8584.2864000000009</v>
      </c>
    </row>
    <row r="117" spans="1:13" ht="24.75" customHeight="1" x14ac:dyDescent="0.2">
      <c r="A117" s="96" t="s">
        <v>173</v>
      </c>
      <c r="B117" s="15" t="s">
        <v>174</v>
      </c>
      <c r="C117" s="15"/>
      <c r="D117" s="19"/>
      <c r="E117" s="18"/>
      <c r="F117" s="18"/>
      <c r="G117" s="19">
        <v>122783.34442873977</v>
      </c>
      <c r="H117" s="19"/>
      <c r="I117" s="18"/>
      <c r="J117" s="19"/>
      <c r="K117" s="19">
        <v>94449.215313440829</v>
      </c>
      <c r="L117" s="19">
        <v>2260.7200000000003</v>
      </c>
      <c r="M117" s="97">
        <v>96709.93531344083</v>
      </c>
    </row>
    <row r="118" spans="1:13" ht="24.75" customHeight="1" x14ac:dyDescent="0.2">
      <c r="A118" s="94" t="s">
        <v>175</v>
      </c>
      <c r="B118" s="11" t="s">
        <v>176</v>
      </c>
      <c r="C118" s="12" t="s">
        <v>46</v>
      </c>
      <c r="D118" s="13">
        <v>2383.16</v>
      </c>
      <c r="E118" s="13">
        <v>2.66</v>
      </c>
      <c r="F118" s="13">
        <v>3.08</v>
      </c>
      <c r="G118" s="13">
        <v>7340.1327999999994</v>
      </c>
      <c r="H118" s="13">
        <v>550</v>
      </c>
      <c r="I118" s="13">
        <v>734</v>
      </c>
      <c r="J118" s="13">
        <v>1284</v>
      </c>
      <c r="K118" s="13">
        <v>1694</v>
      </c>
      <c r="L118" s="13">
        <v>2260.7200000000003</v>
      </c>
      <c r="M118" s="95">
        <v>3954.7200000000003</v>
      </c>
    </row>
    <row r="119" spans="1:13" ht="32.25" hidden="1" customHeight="1" x14ac:dyDescent="0.2">
      <c r="A119" s="94" t="s">
        <v>177</v>
      </c>
      <c r="B119" s="11" t="s">
        <v>178</v>
      </c>
      <c r="C119" s="12" t="s">
        <v>46</v>
      </c>
      <c r="D119" s="13">
        <v>0</v>
      </c>
      <c r="E119" s="13">
        <v>26.76</v>
      </c>
      <c r="F119" s="13">
        <v>30.96</v>
      </c>
      <c r="G119" s="13">
        <v>0</v>
      </c>
      <c r="H119" s="13">
        <v>0</v>
      </c>
      <c r="I119" s="13">
        <v>0</v>
      </c>
      <c r="J119" s="13">
        <v>0</v>
      </c>
      <c r="K119" s="13">
        <v>0</v>
      </c>
      <c r="L119" s="13">
        <v>0</v>
      </c>
      <c r="M119" s="95">
        <v>0</v>
      </c>
    </row>
    <row r="120" spans="1:13" ht="45.75" customHeight="1" x14ac:dyDescent="0.2">
      <c r="A120" s="94" t="s">
        <v>179</v>
      </c>
      <c r="B120" s="11" t="s">
        <v>180</v>
      </c>
      <c r="C120" s="12" t="s">
        <v>46</v>
      </c>
      <c r="D120" s="13">
        <v>3098.11</v>
      </c>
      <c r="E120" s="13">
        <v>30.1403088</v>
      </c>
      <c r="F120" s="13">
        <v>37.262463769440004</v>
      </c>
      <c r="G120" s="13">
        <v>115443.21162873978</v>
      </c>
      <c r="H120" s="13">
        <v>2489.2399999999998</v>
      </c>
      <c r="I120" s="13">
        <v>0</v>
      </c>
      <c r="J120" s="13">
        <v>2489.2399999999998</v>
      </c>
      <c r="K120" s="13">
        <v>92755.215313440829</v>
      </c>
      <c r="L120" s="13">
        <v>0</v>
      </c>
      <c r="M120" s="95">
        <v>92755.215313440829</v>
      </c>
    </row>
    <row r="121" spans="1:13" ht="24.75" customHeight="1" x14ac:dyDescent="0.2">
      <c r="A121" s="96" t="s">
        <v>181</v>
      </c>
      <c r="B121" s="15" t="s">
        <v>182</v>
      </c>
      <c r="C121" s="15"/>
      <c r="D121" s="19"/>
      <c r="E121" s="18"/>
      <c r="F121" s="18"/>
      <c r="G121" s="19">
        <v>892731.41475324507</v>
      </c>
      <c r="H121" s="19"/>
      <c r="I121" s="18"/>
      <c r="J121" s="19"/>
      <c r="K121" s="19">
        <v>780933.24861583998</v>
      </c>
      <c r="L121" s="19">
        <v>47388.676000000007</v>
      </c>
      <c r="M121" s="97">
        <v>828321.92461583996</v>
      </c>
    </row>
    <row r="122" spans="1:13" ht="24.75" customHeight="1" x14ac:dyDescent="0.2">
      <c r="A122" s="96" t="s">
        <v>183</v>
      </c>
      <c r="B122" s="15" t="s">
        <v>184</v>
      </c>
      <c r="C122" s="15"/>
      <c r="D122" s="19"/>
      <c r="E122" s="18"/>
      <c r="F122" s="18"/>
      <c r="G122" s="19">
        <v>611991.8602532451</v>
      </c>
      <c r="H122" s="19"/>
      <c r="I122" s="18"/>
      <c r="J122" s="19"/>
      <c r="K122" s="19">
        <v>541416.58021584002</v>
      </c>
      <c r="L122" s="19">
        <v>6165.7899000000007</v>
      </c>
      <c r="M122" s="97">
        <v>547582.37011583999</v>
      </c>
    </row>
    <row r="123" spans="1:13" ht="59.25" customHeight="1" x14ac:dyDescent="0.2">
      <c r="A123" s="94" t="s">
        <v>185</v>
      </c>
      <c r="B123" s="11" t="s">
        <v>186</v>
      </c>
      <c r="C123" s="12" t="s">
        <v>31</v>
      </c>
      <c r="D123" s="13">
        <v>6147.52</v>
      </c>
      <c r="E123" s="13">
        <v>8.91</v>
      </c>
      <c r="F123" s="13">
        <v>11.01</v>
      </c>
      <c r="G123" s="13">
        <v>67684.195200000002</v>
      </c>
      <c r="H123" s="13">
        <v>6147.52</v>
      </c>
      <c r="I123" s="13">
        <v>0</v>
      </c>
      <c r="J123" s="13">
        <v>6147.52</v>
      </c>
      <c r="K123" s="13">
        <v>67684.195200000002</v>
      </c>
      <c r="L123" s="13">
        <v>0</v>
      </c>
      <c r="M123" s="95">
        <v>67684.195200000002</v>
      </c>
    </row>
    <row r="124" spans="1:13" ht="62.25" customHeight="1" x14ac:dyDescent="0.2">
      <c r="A124" s="94" t="s">
        <v>187</v>
      </c>
      <c r="B124" s="11" t="s">
        <v>188</v>
      </c>
      <c r="C124" s="12" t="s">
        <v>31</v>
      </c>
      <c r="D124" s="13">
        <v>6147.52</v>
      </c>
      <c r="E124" s="13">
        <v>31.79</v>
      </c>
      <c r="F124" s="13">
        <v>39.299999999999997</v>
      </c>
      <c r="G124" s="13">
        <v>241597.53599999999</v>
      </c>
      <c r="H124" s="13">
        <v>6147.52</v>
      </c>
      <c r="I124" s="13">
        <v>0</v>
      </c>
      <c r="J124" s="13">
        <v>6147.52</v>
      </c>
      <c r="K124" s="13">
        <v>241597.53599999999</v>
      </c>
      <c r="L124" s="13">
        <v>0</v>
      </c>
      <c r="M124" s="95">
        <v>241597.53599999999</v>
      </c>
    </row>
    <row r="125" spans="1:13" ht="43.5" customHeight="1" x14ac:dyDescent="0.2">
      <c r="A125" s="94" t="s">
        <v>189</v>
      </c>
      <c r="B125" s="11" t="s">
        <v>190</v>
      </c>
      <c r="C125" s="12" t="s">
        <v>31</v>
      </c>
      <c r="D125" s="13">
        <v>1001.76</v>
      </c>
      <c r="E125" s="13">
        <v>90.87</v>
      </c>
      <c r="F125" s="13">
        <v>112.34</v>
      </c>
      <c r="G125" s="13">
        <v>112537.7184</v>
      </c>
      <c r="H125" s="13">
        <v>1001.76</v>
      </c>
      <c r="I125" s="13">
        <v>0</v>
      </c>
      <c r="J125" s="13">
        <v>1001.76</v>
      </c>
      <c r="K125" s="13">
        <v>112537.7184</v>
      </c>
      <c r="L125" s="13">
        <v>0</v>
      </c>
      <c r="M125" s="95">
        <v>112537.7184</v>
      </c>
    </row>
    <row r="126" spans="1:13" ht="24.75" customHeight="1" x14ac:dyDescent="0.2">
      <c r="A126" s="94" t="s">
        <v>191</v>
      </c>
      <c r="B126" s="11" t="s">
        <v>192</v>
      </c>
      <c r="C126" s="12" t="s">
        <v>46</v>
      </c>
      <c r="D126" s="13">
        <v>1986.29</v>
      </c>
      <c r="E126" s="13">
        <v>0</v>
      </c>
      <c r="F126" s="13">
        <v>62.153924227200001</v>
      </c>
      <c r="G126" s="13">
        <v>123455.71815324509</v>
      </c>
      <c r="H126" s="13">
        <v>950</v>
      </c>
      <c r="I126" s="344">
        <v>0</v>
      </c>
      <c r="J126" s="13">
        <v>950</v>
      </c>
      <c r="K126" s="13">
        <v>59046.228015840003</v>
      </c>
      <c r="L126" s="13">
        <v>0</v>
      </c>
      <c r="M126" s="95">
        <v>59046.228015840003</v>
      </c>
    </row>
    <row r="127" spans="1:13" ht="58.5" customHeight="1" x14ac:dyDescent="0.2">
      <c r="A127" s="98" t="s">
        <v>1217</v>
      </c>
      <c r="B127" s="51" t="s">
        <v>1218</v>
      </c>
      <c r="C127" s="52" t="s">
        <v>31</v>
      </c>
      <c r="D127" s="13">
        <v>630.87</v>
      </c>
      <c r="E127" s="13"/>
      <c r="F127" s="13">
        <v>95.98</v>
      </c>
      <c r="G127" s="13">
        <v>60550.902600000001</v>
      </c>
      <c r="H127" s="13">
        <v>630.87</v>
      </c>
      <c r="I127" s="13">
        <v>0</v>
      </c>
      <c r="J127" s="13">
        <v>630.87</v>
      </c>
      <c r="K127" s="13">
        <v>60550.902600000001</v>
      </c>
      <c r="L127" s="13">
        <v>0</v>
      </c>
      <c r="M127" s="95">
        <v>60550.902600000001</v>
      </c>
    </row>
    <row r="128" spans="1:13" ht="48.75" customHeight="1" x14ac:dyDescent="0.2">
      <c r="A128" s="98" t="s">
        <v>1219</v>
      </c>
      <c r="B128" s="51" t="s">
        <v>1220</v>
      </c>
      <c r="C128" s="52" t="s">
        <v>31</v>
      </c>
      <c r="D128" s="13">
        <v>818.83</v>
      </c>
      <c r="E128" s="13"/>
      <c r="F128" s="13">
        <v>7.53</v>
      </c>
      <c r="G128" s="13">
        <v>6165.7899000000007</v>
      </c>
      <c r="H128" s="13">
        <v>0</v>
      </c>
      <c r="I128" s="13">
        <v>818.83</v>
      </c>
      <c r="J128" s="13">
        <v>818.83</v>
      </c>
      <c r="K128" s="13">
        <v>0</v>
      </c>
      <c r="L128" s="13">
        <v>6165.7899000000007</v>
      </c>
      <c r="M128" s="95">
        <v>6165.7899000000007</v>
      </c>
    </row>
    <row r="129" spans="1:13" ht="24.75" customHeight="1" x14ac:dyDescent="0.2">
      <c r="A129" s="96" t="s">
        <v>193</v>
      </c>
      <c r="B129" s="15" t="s">
        <v>194</v>
      </c>
      <c r="C129" s="15"/>
      <c r="D129" s="19"/>
      <c r="E129" s="18"/>
      <c r="F129" s="18"/>
      <c r="G129" s="19">
        <v>251511.465</v>
      </c>
      <c r="H129" s="19"/>
      <c r="I129" s="18"/>
      <c r="J129" s="19"/>
      <c r="K129" s="19">
        <v>216969.965</v>
      </c>
      <c r="L129" s="19">
        <v>34541.5</v>
      </c>
      <c r="M129" s="97">
        <v>251511.465</v>
      </c>
    </row>
    <row r="130" spans="1:13" ht="46.5" customHeight="1" x14ac:dyDescent="0.2">
      <c r="A130" s="94" t="s">
        <v>195</v>
      </c>
      <c r="B130" s="11" t="s">
        <v>196</v>
      </c>
      <c r="C130" s="12" t="s">
        <v>31</v>
      </c>
      <c r="D130" s="13">
        <v>3618.87</v>
      </c>
      <c r="E130" s="13">
        <v>49.65</v>
      </c>
      <c r="F130" s="13">
        <v>61.38</v>
      </c>
      <c r="G130" s="13">
        <v>222126.24059999999</v>
      </c>
      <c r="H130" s="13">
        <v>3121.87</v>
      </c>
      <c r="I130" s="13">
        <v>497</v>
      </c>
      <c r="J130" s="13">
        <v>3618.87</v>
      </c>
      <c r="K130" s="13">
        <v>191620.3806</v>
      </c>
      <c r="L130" s="13">
        <v>30505.86</v>
      </c>
      <c r="M130" s="95">
        <v>222126.24059999999</v>
      </c>
    </row>
    <row r="131" spans="1:13" ht="50.25" customHeight="1" x14ac:dyDescent="0.2">
      <c r="A131" s="94" t="s">
        <v>197</v>
      </c>
      <c r="B131" s="11" t="s">
        <v>198</v>
      </c>
      <c r="C131" s="12" t="s">
        <v>31</v>
      </c>
      <c r="D131" s="13">
        <v>3618.87</v>
      </c>
      <c r="E131" s="13">
        <v>6.57</v>
      </c>
      <c r="F131" s="13">
        <v>8.1199999999999992</v>
      </c>
      <c r="G131" s="13">
        <v>29385.224399999996</v>
      </c>
      <c r="H131" s="13">
        <v>3121.87</v>
      </c>
      <c r="I131" s="13">
        <v>497</v>
      </c>
      <c r="J131" s="13">
        <v>3618.87</v>
      </c>
      <c r="K131" s="13">
        <v>25349.584399999996</v>
      </c>
      <c r="L131" s="13">
        <v>4035.6399999999994</v>
      </c>
      <c r="M131" s="95">
        <v>29385.224399999996</v>
      </c>
    </row>
    <row r="132" spans="1:13" ht="24.75" customHeight="1" x14ac:dyDescent="0.2">
      <c r="A132" s="96" t="s">
        <v>199</v>
      </c>
      <c r="B132" s="15" t="s">
        <v>200</v>
      </c>
      <c r="C132" s="15"/>
      <c r="D132" s="19"/>
      <c r="E132" s="18"/>
      <c r="F132" s="18"/>
      <c r="G132" s="19">
        <v>29228.089499999998</v>
      </c>
      <c r="H132" s="19"/>
      <c r="I132" s="18"/>
      <c r="J132" s="19"/>
      <c r="K132" s="19">
        <v>22546.703399999999</v>
      </c>
      <c r="L132" s="19">
        <v>6681.3860999999997</v>
      </c>
      <c r="M132" s="97">
        <v>29228.089499999995</v>
      </c>
    </row>
    <row r="133" spans="1:13" ht="24.75" customHeight="1" x14ac:dyDescent="0.2">
      <c r="A133" s="94" t="s">
        <v>201</v>
      </c>
      <c r="B133" s="11" t="s">
        <v>202</v>
      </c>
      <c r="C133" s="12" t="s">
        <v>31</v>
      </c>
      <c r="D133" s="13">
        <v>921.15</v>
      </c>
      <c r="E133" s="13">
        <v>27.423000000000002</v>
      </c>
      <c r="F133" s="13">
        <v>31.73</v>
      </c>
      <c r="G133" s="13">
        <v>29228.089499999998</v>
      </c>
      <c r="H133" s="13">
        <v>710.57999999999993</v>
      </c>
      <c r="I133" s="13">
        <v>210.57</v>
      </c>
      <c r="J133" s="13">
        <v>921.14999999999986</v>
      </c>
      <c r="K133" s="13">
        <v>22546.703399999999</v>
      </c>
      <c r="L133" s="13">
        <v>6681.3860999999997</v>
      </c>
      <c r="M133" s="95">
        <v>29228.089499999995</v>
      </c>
    </row>
    <row r="134" spans="1:13" ht="24.75" customHeight="1" x14ac:dyDescent="0.2">
      <c r="A134" s="96" t="s">
        <v>203</v>
      </c>
      <c r="B134" s="15" t="s">
        <v>204</v>
      </c>
      <c r="C134" s="15"/>
      <c r="D134" s="19"/>
      <c r="E134" s="18"/>
      <c r="F134" s="18"/>
      <c r="G134" s="19">
        <v>322157.1067292958</v>
      </c>
      <c r="H134" s="19"/>
      <c r="I134" s="18"/>
      <c r="J134" s="19"/>
      <c r="K134" s="19">
        <v>210497.6671433294</v>
      </c>
      <c r="L134" s="19">
        <v>45586.448952235631</v>
      </c>
      <c r="M134" s="97">
        <v>256084.11609556503</v>
      </c>
    </row>
    <row r="135" spans="1:13" ht="24.75" customHeight="1" x14ac:dyDescent="0.2">
      <c r="A135" s="96" t="s">
        <v>205</v>
      </c>
      <c r="B135" s="15" t="s">
        <v>206</v>
      </c>
      <c r="C135" s="15"/>
      <c r="D135" s="19"/>
      <c r="E135" s="18"/>
      <c r="F135" s="18"/>
      <c r="G135" s="19">
        <v>190733.43628938674</v>
      </c>
      <c r="H135" s="19"/>
      <c r="I135" s="18"/>
      <c r="J135" s="19"/>
      <c r="K135" s="19">
        <v>145905.13742219366</v>
      </c>
      <c r="L135" s="19">
        <v>0</v>
      </c>
      <c r="M135" s="97">
        <v>145905.13742219366</v>
      </c>
    </row>
    <row r="136" spans="1:13" ht="24.75" customHeight="1" x14ac:dyDescent="0.2">
      <c r="A136" s="94" t="s">
        <v>207</v>
      </c>
      <c r="B136" s="11" t="s">
        <v>208</v>
      </c>
      <c r="C136" s="12" t="s">
        <v>31</v>
      </c>
      <c r="D136" s="13">
        <v>6284.36</v>
      </c>
      <c r="E136" s="13">
        <v>3.1255176000000002</v>
      </c>
      <c r="F136" s="13">
        <v>3.8640774088800001</v>
      </c>
      <c r="G136" s="13">
        <v>24283.253505269116</v>
      </c>
      <c r="H136" s="13">
        <v>5727.5</v>
      </c>
      <c r="I136" s="13">
        <v>0</v>
      </c>
      <c r="J136" s="13">
        <v>5727.5</v>
      </c>
      <c r="K136" s="13">
        <v>22131.503359360202</v>
      </c>
      <c r="L136" s="13">
        <v>0</v>
      </c>
      <c r="M136" s="95">
        <v>22131.503359360202</v>
      </c>
    </row>
    <row r="137" spans="1:13" ht="24.75" customHeight="1" x14ac:dyDescent="0.2">
      <c r="A137" s="94" t="s">
        <v>209</v>
      </c>
      <c r="B137" s="11" t="s">
        <v>210</v>
      </c>
      <c r="C137" s="12" t="s">
        <v>31</v>
      </c>
      <c r="D137" s="13">
        <v>6284.36</v>
      </c>
      <c r="E137" s="13">
        <v>13.412023999999999</v>
      </c>
      <c r="F137" s="13">
        <v>16.581285271199999</v>
      </c>
      <c r="G137" s="13">
        <v>104202.76590691842</v>
      </c>
      <c r="H137" s="13">
        <v>5727.5</v>
      </c>
      <c r="I137" s="13">
        <v>0</v>
      </c>
      <c r="J137" s="13">
        <v>5727.5</v>
      </c>
      <c r="K137" s="13">
        <v>94969.311390797986</v>
      </c>
      <c r="L137" s="13">
        <v>0</v>
      </c>
      <c r="M137" s="95">
        <v>94969.311390797986</v>
      </c>
    </row>
    <row r="138" spans="1:13" ht="24.75" customHeight="1" x14ac:dyDescent="0.2">
      <c r="A138" s="94" t="s">
        <v>211</v>
      </c>
      <c r="B138" s="11" t="s">
        <v>212</v>
      </c>
      <c r="C138" s="12" t="s">
        <v>31</v>
      </c>
      <c r="D138" s="13">
        <v>6284.36</v>
      </c>
      <c r="E138" s="13">
        <v>8.0119164000000005</v>
      </c>
      <c r="F138" s="13">
        <v>9.9051322453200008</v>
      </c>
      <c r="G138" s="13">
        <v>62247.416877199197</v>
      </c>
      <c r="H138" s="13">
        <v>2908.02</v>
      </c>
      <c r="I138" s="13">
        <v>0</v>
      </c>
      <c r="J138" s="13">
        <v>2908.02</v>
      </c>
      <c r="K138" s="13">
        <v>28804.322672035469</v>
      </c>
      <c r="L138" s="13">
        <v>0</v>
      </c>
      <c r="M138" s="95">
        <v>28804.322672035469</v>
      </c>
    </row>
    <row r="139" spans="1:13" ht="24.75" customHeight="1" x14ac:dyDescent="0.2">
      <c r="A139" s="96" t="s">
        <v>213</v>
      </c>
      <c r="B139" s="15" t="s">
        <v>214</v>
      </c>
      <c r="C139" s="15"/>
      <c r="D139" s="19"/>
      <c r="E139" s="18"/>
      <c r="F139" s="18"/>
      <c r="G139" s="19">
        <v>131423.67043990907</v>
      </c>
      <c r="H139" s="19"/>
      <c r="I139" s="18"/>
      <c r="J139" s="19"/>
      <c r="K139" s="19">
        <v>64592.529721135747</v>
      </c>
      <c r="L139" s="19">
        <v>45586.448952235631</v>
      </c>
      <c r="M139" s="97">
        <v>110178.97867337137</v>
      </c>
    </row>
    <row r="140" spans="1:13" ht="40.5" customHeight="1" x14ac:dyDescent="0.2">
      <c r="A140" s="94" t="s">
        <v>215</v>
      </c>
      <c r="B140" s="11" t="s">
        <v>216</v>
      </c>
      <c r="C140" s="12" t="s">
        <v>31</v>
      </c>
      <c r="D140" s="13">
        <v>3121.87</v>
      </c>
      <c r="E140" s="13">
        <v>3.5169600000000001</v>
      </c>
      <c r="F140" s="13">
        <v>4.3480176479999999</v>
      </c>
      <c r="G140" s="13">
        <v>13573.94585476176</v>
      </c>
      <c r="H140" s="13">
        <v>1560.6</v>
      </c>
      <c r="I140" s="13">
        <v>1101.4000000000001</v>
      </c>
      <c r="J140" s="13">
        <v>2662</v>
      </c>
      <c r="K140" s="13">
        <v>6785.5163414687995</v>
      </c>
      <c r="L140" s="13">
        <v>4788.9066375072007</v>
      </c>
      <c r="M140" s="95">
        <v>11574.422978975999</v>
      </c>
    </row>
    <row r="141" spans="1:13" ht="47.25" customHeight="1" x14ac:dyDescent="0.2">
      <c r="A141" s="94" t="s">
        <v>217</v>
      </c>
      <c r="B141" s="11" t="s">
        <v>218</v>
      </c>
      <c r="C141" s="12" t="s">
        <v>31</v>
      </c>
      <c r="D141" s="13">
        <v>3121.87</v>
      </c>
      <c r="E141" s="13">
        <v>14.727829631999999</v>
      </c>
      <c r="F141" s="13">
        <v>18.208015774041598</v>
      </c>
      <c r="G141" s="13">
        <v>56843.058204507244</v>
      </c>
      <c r="H141" s="13">
        <v>1560.6</v>
      </c>
      <c r="I141" s="13">
        <v>1101.4000000000001</v>
      </c>
      <c r="J141" s="13">
        <v>2662</v>
      </c>
      <c r="K141" s="13">
        <v>28415.429416969317</v>
      </c>
      <c r="L141" s="13">
        <v>20054.308573529419</v>
      </c>
      <c r="M141" s="95">
        <v>48469.737990498732</v>
      </c>
    </row>
    <row r="142" spans="1:13" ht="40.5" customHeight="1" x14ac:dyDescent="0.2">
      <c r="A142" s="94" t="s">
        <v>219</v>
      </c>
      <c r="B142" s="11" t="s">
        <v>220</v>
      </c>
      <c r="C142" s="12" t="s">
        <v>31</v>
      </c>
      <c r="D142" s="13">
        <v>3121.87</v>
      </c>
      <c r="E142" s="13">
        <v>15.233774400000001</v>
      </c>
      <c r="F142" s="13">
        <v>18.833515290720001</v>
      </c>
      <c r="G142" s="13">
        <v>58795.786380640049</v>
      </c>
      <c r="H142" s="13">
        <v>1560.6</v>
      </c>
      <c r="I142" s="13">
        <v>1101.4000000000001</v>
      </c>
      <c r="J142" s="13">
        <v>2662</v>
      </c>
      <c r="K142" s="13">
        <v>29391.58396269763</v>
      </c>
      <c r="L142" s="13">
        <v>20743.233741199012</v>
      </c>
      <c r="M142" s="95">
        <v>50134.817703896646</v>
      </c>
    </row>
    <row r="143" spans="1:13" ht="24.75" hidden="1" customHeight="1" x14ac:dyDescent="0.2">
      <c r="A143" s="94" t="s">
        <v>221</v>
      </c>
      <c r="B143" s="11" t="s">
        <v>222</v>
      </c>
      <c r="C143" s="12" t="s">
        <v>46</v>
      </c>
      <c r="D143" s="13">
        <v>336</v>
      </c>
      <c r="E143" s="13">
        <v>5.33</v>
      </c>
      <c r="F143" s="13">
        <v>6.58</v>
      </c>
      <c r="G143" s="13">
        <v>2210.88</v>
      </c>
      <c r="H143" s="13">
        <v>0</v>
      </c>
      <c r="I143" s="13">
        <v>0</v>
      </c>
      <c r="J143" s="13">
        <v>0</v>
      </c>
      <c r="K143" s="13">
        <v>0</v>
      </c>
      <c r="L143" s="13">
        <v>0</v>
      </c>
      <c r="M143" s="95">
        <v>0</v>
      </c>
    </row>
    <row r="144" spans="1:13" ht="24.75" customHeight="1" x14ac:dyDescent="0.2">
      <c r="A144" s="96" t="s">
        <v>223</v>
      </c>
      <c r="B144" s="15" t="s">
        <v>224</v>
      </c>
      <c r="C144" s="15"/>
      <c r="D144" s="19"/>
      <c r="E144" s="18"/>
      <c r="F144" s="18"/>
      <c r="G144" s="19">
        <v>349492.53406824474</v>
      </c>
      <c r="H144" s="19"/>
      <c r="I144" s="18"/>
      <c r="J144" s="19"/>
      <c r="K144" s="19">
        <v>283484.68721903185</v>
      </c>
      <c r="L144" s="19">
        <v>59196.814992830841</v>
      </c>
      <c r="M144" s="97">
        <v>342681.50221186271</v>
      </c>
    </row>
    <row r="145" spans="1:13" ht="47.25" customHeight="1" x14ac:dyDescent="0.2">
      <c r="A145" s="94" t="s">
        <v>225</v>
      </c>
      <c r="B145" s="11" t="s">
        <v>226</v>
      </c>
      <c r="C145" s="12" t="s">
        <v>31</v>
      </c>
      <c r="D145" s="13">
        <v>1182.67</v>
      </c>
      <c r="E145" s="13">
        <v>93.527987999999979</v>
      </c>
      <c r="F145" s="13">
        <v>115.62865156439997</v>
      </c>
      <c r="G145" s="13">
        <v>136750.53734566891</v>
      </c>
      <c r="H145" s="13">
        <v>1097.3699999999999</v>
      </c>
      <c r="I145" s="13">
        <v>85.3</v>
      </c>
      <c r="J145" s="13">
        <v>1182.6699999999998</v>
      </c>
      <c r="K145" s="13">
        <v>126887.41336722558</v>
      </c>
      <c r="L145" s="13">
        <v>9863.1239784433183</v>
      </c>
      <c r="M145" s="95">
        <v>136750.53734566891</v>
      </c>
    </row>
    <row r="146" spans="1:13" ht="30.75" customHeight="1" x14ac:dyDescent="0.2">
      <c r="A146" s="94" t="s">
        <v>227</v>
      </c>
      <c r="B146" s="11" t="s">
        <v>228</v>
      </c>
      <c r="C146" s="12" t="s">
        <v>31</v>
      </c>
      <c r="D146" s="13">
        <v>266.45999999999998</v>
      </c>
      <c r="E146" s="13">
        <v>36.129199999999997</v>
      </c>
      <c r="F146" s="13">
        <v>44.666529959999998</v>
      </c>
      <c r="G146" s="13">
        <v>11901.843573141599</v>
      </c>
      <c r="H146" s="13">
        <v>62.5</v>
      </c>
      <c r="I146" s="13">
        <v>203.96</v>
      </c>
      <c r="J146" s="13">
        <v>266.46000000000004</v>
      </c>
      <c r="K146" s="13">
        <v>2791.6581225</v>
      </c>
      <c r="L146" s="13">
        <v>9110.1854506416003</v>
      </c>
      <c r="M146" s="95">
        <v>11901.843573141601</v>
      </c>
    </row>
    <row r="147" spans="1:13" ht="42" customHeight="1" x14ac:dyDescent="0.2">
      <c r="A147" s="94" t="s">
        <v>229</v>
      </c>
      <c r="B147" s="11" t="s">
        <v>230</v>
      </c>
      <c r="C147" s="12" t="s">
        <v>31</v>
      </c>
      <c r="D147" s="13">
        <v>675.21</v>
      </c>
      <c r="E147" s="13">
        <v>46.839680000000001</v>
      </c>
      <c r="F147" s="13">
        <v>57.907896384000004</v>
      </c>
      <c r="G147" s="13">
        <v>39099.990717440647</v>
      </c>
      <c r="H147" s="13">
        <v>481.11000000000018</v>
      </c>
      <c r="I147" s="13">
        <v>86.63</v>
      </c>
      <c r="J147" s="13">
        <v>567.74000000000024</v>
      </c>
      <c r="K147" s="13">
        <v>27860.068029306254</v>
      </c>
      <c r="L147" s="13">
        <v>5016.5610637459204</v>
      </c>
      <c r="M147" s="95">
        <v>32876.629093052179</v>
      </c>
    </row>
    <row r="148" spans="1:13" ht="42" hidden="1" customHeight="1" x14ac:dyDescent="0.2">
      <c r="A148" s="94" t="s">
        <v>231</v>
      </c>
      <c r="B148" s="11" t="s">
        <v>232</v>
      </c>
      <c r="C148" s="12" t="s">
        <v>28</v>
      </c>
      <c r="D148" s="13">
        <v>65</v>
      </c>
      <c r="E148" s="13">
        <v>7.3111487999999998</v>
      </c>
      <c r="F148" s="13">
        <v>9.0387732614399994</v>
      </c>
      <c r="G148" s="13">
        <v>587.5202619936</v>
      </c>
      <c r="H148" s="13">
        <v>0</v>
      </c>
      <c r="I148" s="13">
        <v>0</v>
      </c>
      <c r="J148" s="13">
        <v>0</v>
      </c>
      <c r="K148" s="13">
        <v>0</v>
      </c>
      <c r="L148" s="13">
        <v>0</v>
      </c>
      <c r="M148" s="95">
        <v>0</v>
      </c>
    </row>
    <row r="149" spans="1:13" ht="24.75" customHeight="1" x14ac:dyDescent="0.2">
      <c r="A149" s="94" t="s">
        <v>233</v>
      </c>
      <c r="B149" s="11" t="s">
        <v>234</v>
      </c>
      <c r="C149" s="12" t="s">
        <v>31</v>
      </c>
      <c r="D149" s="13">
        <v>47.1</v>
      </c>
      <c r="E149" s="13">
        <v>276.06</v>
      </c>
      <c r="F149" s="13">
        <v>341.29</v>
      </c>
      <c r="G149" s="13">
        <v>16074.759000000002</v>
      </c>
      <c r="H149" s="13">
        <v>23.55</v>
      </c>
      <c r="I149" s="13">
        <v>23.55</v>
      </c>
      <c r="J149" s="13">
        <v>47.1</v>
      </c>
      <c r="K149" s="13">
        <v>8037.3795000000009</v>
      </c>
      <c r="L149" s="13">
        <v>8037.3795000000009</v>
      </c>
      <c r="M149" s="95">
        <v>16074.759000000002</v>
      </c>
    </row>
    <row r="150" spans="1:13" ht="39.75" customHeight="1" x14ac:dyDescent="0.2">
      <c r="A150" s="94" t="s">
        <v>235</v>
      </c>
      <c r="B150" s="11" t="s">
        <v>236</v>
      </c>
      <c r="C150" s="12" t="s">
        <v>31</v>
      </c>
      <c r="D150" s="13">
        <v>2177.683</v>
      </c>
      <c r="E150" s="13">
        <v>40.44</v>
      </c>
      <c r="F150" s="13">
        <v>49.99</v>
      </c>
      <c r="G150" s="13">
        <v>108862.37317000001</v>
      </c>
      <c r="H150" s="13">
        <v>1634.1799999999998</v>
      </c>
      <c r="I150" s="13">
        <v>543.5</v>
      </c>
      <c r="J150" s="13">
        <v>2177.6799999999998</v>
      </c>
      <c r="K150" s="13">
        <v>81692.658199999991</v>
      </c>
      <c r="L150" s="13">
        <v>27169.565000000002</v>
      </c>
      <c r="M150" s="95">
        <v>108862.22319999999</v>
      </c>
    </row>
    <row r="151" spans="1:13" ht="39.75" customHeight="1" x14ac:dyDescent="0.2">
      <c r="A151" s="98" t="s">
        <v>1221</v>
      </c>
      <c r="B151" s="51" t="s">
        <v>1222</v>
      </c>
      <c r="C151" s="52" t="s">
        <v>31</v>
      </c>
      <c r="D151" s="13">
        <v>283</v>
      </c>
      <c r="E151" s="13"/>
      <c r="F151" s="13">
        <v>127.97</v>
      </c>
      <c r="G151" s="13">
        <v>36215.51</v>
      </c>
      <c r="H151" s="13">
        <v>283</v>
      </c>
      <c r="I151" s="13">
        <v>0</v>
      </c>
      <c r="J151" s="13">
        <v>283</v>
      </c>
      <c r="K151" s="13">
        <v>36215.51</v>
      </c>
      <c r="L151" s="13">
        <v>0</v>
      </c>
      <c r="M151" s="95">
        <v>36215.51</v>
      </c>
    </row>
    <row r="152" spans="1:13" ht="24.75" customHeight="1" x14ac:dyDescent="0.2">
      <c r="A152" s="96" t="s">
        <v>237</v>
      </c>
      <c r="B152" s="15" t="s">
        <v>238</v>
      </c>
      <c r="C152" s="15"/>
      <c r="D152" s="19"/>
      <c r="E152" s="18"/>
      <c r="F152" s="18"/>
      <c r="G152" s="19">
        <v>1518038.4150914464</v>
      </c>
      <c r="H152" s="19"/>
      <c r="I152" s="18"/>
      <c r="J152" s="19"/>
      <c r="K152" s="19">
        <v>905014.00629819091</v>
      </c>
      <c r="L152" s="19">
        <v>53642.954903055303</v>
      </c>
      <c r="M152" s="97">
        <v>958656.96120124625</v>
      </c>
    </row>
    <row r="153" spans="1:13" ht="24.75" customHeight="1" x14ac:dyDescent="0.2">
      <c r="A153" s="94" t="s">
        <v>239</v>
      </c>
      <c r="B153" s="11" t="s">
        <v>240</v>
      </c>
      <c r="C153" s="12" t="s">
        <v>31</v>
      </c>
      <c r="D153" s="13">
        <v>2970.02</v>
      </c>
      <c r="E153" s="13">
        <v>154.07678000000001</v>
      </c>
      <c r="F153" s="13">
        <v>190.48512311400003</v>
      </c>
      <c r="G153" s="13">
        <v>565744.62535104237</v>
      </c>
      <c r="H153" s="13">
        <v>1782.008</v>
      </c>
      <c r="I153" s="13">
        <v>0</v>
      </c>
      <c r="J153" s="13">
        <v>1782.008</v>
      </c>
      <c r="K153" s="13">
        <v>339446.013270133</v>
      </c>
      <c r="L153" s="13">
        <v>0</v>
      </c>
      <c r="M153" s="95">
        <v>339446.013270133</v>
      </c>
    </row>
    <row r="154" spans="1:13" ht="42.75" customHeight="1" x14ac:dyDescent="0.2">
      <c r="A154" s="94" t="s">
        <v>241</v>
      </c>
      <c r="B154" s="11" t="s">
        <v>242</v>
      </c>
      <c r="C154" s="12" t="s">
        <v>31</v>
      </c>
      <c r="D154" s="13">
        <v>192.77</v>
      </c>
      <c r="E154" s="13">
        <v>116.37</v>
      </c>
      <c r="F154" s="13">
        <v>143.86000000000001</v>
      </c>
      <c r="G154" s="13">
        <v>27731.892200000006</v>
      </c>
      <c r="H154" s="13">
        <v>138.11000000000001</v>
      </c>
      <c r="I154" s="13">
        <v>54.66</v>
      </c>
      <c r="J154" s="13">
        <v>192.77</v>
      </c>
      <c r="K154" s="13">
        <v>19868.504600000004</v>
      </c>
      <c r="L154" s="13">
        <v>7863.3876</v>
      </c>
      <c r="M154" s="95">
        <v>27731.892200000006</v>
      </c>
    </row>
    <row r="155" spans="1:13" ht="37.5" customHeight="1" x14ac:dyDescent="0.2">
      <c r="A155" s="94" t="s">
        <v>243</v>
      </c>
      <c r="B155" s="11" t="s">
        <v>244</v>
      </c>
      <c r="C155" s="12" t="s">
        <v>31</v>
      </c>
      <c r="D155" s="13">
        <v>115.57</v>
      </c>
      <c r="E155" s="13">
        <v>303.2</v>
      </c>
      <c r="F155" s="13">
        <v>374.84</v>
      </c>
      <c r="G155" s="13">
        <v>43320.258799999996</v>
      </c>
      <c r="H155" s="13">
        <v>57.784999999999997</v>
      </c>
      <c r="I155" s="13">
        <v>0</v>
      </c>
      <c r="J155" s="13">
        <v>57.784999999999997</v>
      </c>
      <c r="K155" s="13">
        <v>21660.129399999998</v>
      </c>
      <c r="L155" s="13">
        <v>0</v>
      </c>
      <c r="M155" s="95">
        <v>21660.129399999998</v>
      </c>
    </row>
    <row r="156" spans="1:13" ht="47.25" customHeight="1" x14ac:dyDescent="0.2">
      <c r="A156" s="94" t="s">
        <v>245</v>
      </c>
      <c r="B156" s="11" t="s">
        <v>246</v>
      </c>
      <c r="C156" s="12" t="s">
        <v>31</v>
      </c>
      <c r="D156" s="13">
        <v>4858.42</v>
      </c>
      <c r="E156" s="13">
        <v>48.442624999999992</v>
      </c>
      <c r="F156" s="13">
        <v>59.889617287499988</v>
      </c>
      <c r="G156" s="13">
        <v>290968.91442193568</v>
      </c>
      <c r="H156" s="13">
        <v>4266.4400000000005</v>
      </c>
      <c r="I156" s="13">
        <v>311.8</v>
      </c>
      <c r="J156" s="13">
        <v>4578.2400000000007</v>
      </c>
      <c r="K156" s="13">
        <v>255515.45878008148</v>
      </c>
      <c r="L156" s="13">
        <v>18673.582670242497</v>
      </c>
      <c r="M156" s="95">
        <v>274189.041450324</v>
      </c>
    </row>
    <row r="157" spans="1:13" ht="42" customHeight="1" x14ac:dyDescent="0.2">
      <c r="A157" s="94" t="s">
        <v>247</v>
      </c>
      <c r="B157" s="11" t="s">
        <v>248</v>
      </c>
      <c r="C157" s="12" t="s">
        <v>59</v>
      </c>
      <c r="D157" s="13">
        <v>108.884</v>
      </c>
      <c r="E157" s="13">
        <v>671.7</v>
      </c>
      <c r="F157" s="13">
        <v>830.42</v>
      </c>
      <c r="G157" s="13">
        <v>90419.451279999994</v>
      </c>
      <c r="H157" s="13">
        <v>55</v>
      </c>
      <c r="I157" s="13">
        <v>0</v>
      </c>
      <c r="J157" s="13">
        <v>55</v>
      </c>
      <c r="K157" s="13">
        <v>45673.1</v>
      </c>
      <c r="L157" s="13">
        <v>0</v>
      </c>
      <c r="M157" s="95">
        <v>45673.1</v>
      </c>
    </row>
    <row r="158" spans="1:13" ht="24.75" customHeight="1" x14ac:dyDescent="0.2">
      <c r="A158" s="94" t="s">
        <v>249</v>
      </c>
      <c r="B158" s="11" t="s">
        <v>250</v>
      </c>
      <c r="C158" s="12" t="s">
        <v>31</v>
      </c>
      <c r="D158" s="13">
        <v>460.33</v>
      </c>
      <c r="E158" s="13">
        <v>32.81</v>
      </c>
      <c r="F158" s="13">
        <v>40.56</v>
      </c>
      <c r="G158" s="13">
        <v>18670.984800000002</v>
      </c>
      <c r="H158" s="13">
        <v>0</v>
      </c>
      <c r="I158" s="13">
        <v>0</v>
      </c>
      <c r="J158" s="13">
        <v>0</v>
      </c>
      <c r="K158" s="13">
        <v>0</v>
      </c>
      <c r="L158" s="13">
        <v>0</v>
      </c>
      <c r="M158" s="95">
        <v>0</v>
      </c>
    </row>
    <row r="159" spans="1:13" ht="24.75" customHeight="1" x14ac:dyDescent="0.2">
      <c r="A159" s="94" t="s">
        <v>251</v>
      </c>
      <c r="B159" s="11" t="s">
        <v>252</v>
      </c>
      <c r="C159" s="12" t="s">
        <v>31</v>
      </c>
      <c r="D159" s="13">
        <v>154.22999999999999</v>
      </c>
      <c r="E159" s="13">
        <v>294.43</v>
      </c>
      <c r="F159" s="13">
        <v>364</v>
      </c>
      <c r="G159" s="13">
        <v>56139.719999999994</v>
      </c>
      <c r="H159" s="13">
        <v>51.93</v>
      </c>
      <c r="I159" s="344">
        <v>0</v>
      </c>
      <c r="J159" s="13">
        <v>51.93</v>
      </c>
      <c r="K159" s="13">
        <v>18902.52</v>
      </c>
      <c r="L159" s="13">
        <v>0</v>
      </c>
      <c r="M159" s="95">
        <v>18902.52</v>
      </c>
    </row>
    <row r="160" spans="1:13" ht="24.75" customHeight="1" x14ac:dyDescent="0.2">
      <c r="A160" s="94" t="s">
        <v>253</v>
      </c>
      <c r="B160" s="11" t="s">
        <v>254</v>
      </c>
      <c r="C160" s="12" t="s">
        <v>31</v>
      </c>
      <c r="D160" s="13">
        <v>228.77</v>
      </c>
      <c r="E160" s="13">
        <v>457.15360000000004</v>
      </c>
      <c r="F160" s="13">
        <v>565.17899568000007</v>
      </c>
      <c r="G160" s="13">
        <v>129295.99884171362</v>
      </c>
      <c r="H160" s="13">
        <v>120</v>
      </c>
      <c r="I160" s="344">
        <v>47.96</v>
      </c>
      <c r="J160" s="13">
        <v>167.96</v>
      </c>
      <c r="K160" s="13">
        <v>67821.479481600007</v>
      </c>
      <c r="L160" s="13">
        <v>27105.984632812804</v>
      </c>
      <c r="M160" s="95">
        <v>94927.464114412811</v>
      </c>
    </row>
    <row r="161" spans="1:13" ht="31.5" customHeight="1" x14ac:dyDescent="0.2">
      <c r="A161" s="94" t="s">
        <v>255</v>
      </c>
      <c r="B161" s="11" t="s">
        <v>256</v>
      </c>
      <c r="C161" s="12" t="s">
        <v>59</v>
      </c>
      <c r="D161" s="13">
        <v>156.23009999999999</v>
      </c>
      <c r="E161" s="13">
        <v>569.94000000000005</v>
      </c>
      <c r="F161" s="13">
        <v>704.61</v>
      </c>
      <c r="G161" s="13">
        <v>110081.290761</v>
      </c>
      <c r="H161" s="13">
        <v>124.98</v>
      </c>
      <c r="I161" s="13">
        <v>0</v>
      </c>
      <c r="J161" s="13">
        <v>124.98</v>
      </c>
      <c r="K161" s="13">
        <v>88062.157800000001</v>
      </c>
      <c r="L161" s="13">
        <v>0</v>
      </c>
      <c r="M161" s="95">
        <v>88062.157800000001</v>
      </c>
    </row>
    <row r="162" spans="1:13" ht="24.75" customHeight="1" x14ac:dyDescent="0.2">
      <c r="A162" s="94" t="s">
        <v>257</v>
      </c>
      <c r="B162" s="11" t="s">
        <v>258</v>
      </c>
      <c r="C162" s="12" t="s">
        <v>31</v>
      </c>
      <c r="D162" s="13">
        <v>1301.9177999999999</v>
      </c>
      <c r="E162" s="13">
        <v>37.327599999999997</v>
      </c>
      <c r="F162" s="13">
        <v>46.148111879999995</v>
      </c>
      <c r="G162" s="13">
        <v>60081.048292963453</v>
      </c>
      <c r="H162" s="13">
        <v>1041.53</v>
      </c>
      <c r="I162" s="13">
        <v>0</v>
      </c>
      <c r="J162" s="13">
        <v>1041.53</v>
      </c>
      <c r="K162" s="13">
        <v>48064.642966376392</v>
      </c>
      <c r="L162" s="13">
        <v>0</v>
      </c>
      <c r="M162" s="95">
        <v>48064.642966376392</v>
      </c>
    </row>
    <row r="163" spans="1:13" ht="24.75" hidden="1" customHeight="1" x14ac:dyDescent="0.2">
      <c r="A163" s="94" t="s">
        <v>259</v>
      </c>
      <c r="B163" s="11" t="s">
        <v>260</v>
      </c>
      <c r="C163" s="12" t="s">
        <v>46</v>
      </c>
      <c r="D163" s="13">
        <v>379.72</v>
      </c>
      <c r="E163" s="13">
        <v>135.51420000000002</v>
      </c>
      <c r="F163" s="13">
        <v>167.53620546000002</v>
      </c>
      <c r="G163" s="13">
        <v>63616.84793727121</v>
      </c>
      <c r="H163" s="13">
        <v>0</v>
      </c>
      <c r="I163" s="13">
        <v>0</v>
      </c>
      <c r="J163" s="13">
        <v>0</v>
      </c>
      <c r="K163" s="13">
        <v>0</v>
      </c>
      <c r="L163" s="13">
        <v>0</v>
      </c>
      <c r="M163" s="95">
        <v>0</v>
      </c>
    </row>
    <row r="164" spans="1:13" ht="24.75" hidden="1" customHeight="1" x14ac:dyDescent="0.2">
      <c r="A164" s="94" t="s">
        <v>261</v>
      </c>
      <c r="B164" s="11" t="s">
        <v>262</v>
      </c>
      <c r="C164" s="12" t="s">
        <v>31</v>
      </c>
      <c r="D164" s="13">
        <v>14.64</v>
      </c>
      <c r="E164" s="13">
        <v>131.48499999999999</v>
      </c>
      <c r="F164" s="13">
        <v>162.55490549999999</v>
      </c>
      <c r="G164" s="13">
        <v>2379.8038165200001</v>
      </c>
      <c r="H164" s="13">
        <v>0</v>
      </c>
      <c r="I164" s="13">
        <v>0</v>
      </c>
      <c r="J164" s="13">
        <v>0</v>
      </c>
      <c r="K164" s="13">
        <v>0</v>
      </c>
      <c r="L164" s="13">
        <v>0</v>
      </c>
      <c r="M164" s="95">
        <v>0</v>
      </c>
    </row>
    <row r="165" spans="1:13" ht="24.75" hidden="1" customHeight="1" x14ac:dyDescent="0.2">
      <c r="A165" s="94" t="s">
        <v>263</v>
      </c>
      <c r="B165" s="11" t="s">
        <v>123</v>
      </c>
      <c r="C165" s="12" t="s">
        <v>79</v>
      </c>
      <c r="D165" s="13">
        <v>1926.8382999999999</v>
      </c>
      <c r="E165" s="13">
        <v>15.98</v>
      </c>
      <c r="F165" s="13">
        <v>19.75</v>
      </c>
      <c r="G165" s="13">
        <v>38055.056424999995</v>
      </c>
      <c r="H165" s="13">
        <v>0</v>
      </c>
      <c r="I165" s="13">
        <v>0</v>
      </c>
      <c r="J165" s="13">
        <v>0</v>
      </c>
      <c r="K165" s="13">
        <v>0</v>
      </c>
      <c r="L165" s="13">
        <v>0</v>
      </c>
      <c r="M165" s="95">
        <v>0</v>
      </c>
    </row>
    <row r="166" spans="1:13" ht="24.75" hidden="1" customHeight="1" x14ac:dyDescent="0.2">
      <c r="A166" s="94" t="s">
        <v>264</v>
      </c>
      <c r="B166" s="11" t="s">
        <v>265</v>
      </c>
      <c r="C166" s="12" t="s">
        <v>31</v>
      </c>
      <c r="D166" s="13">
        <v>1301.9177999999999</v>
      </c>
      <c r="E166" s="13">
        <v>2.74</v>
      </c>
      <c r="F166" s="13">
        <v>3.38</v>
      </c>
      <c r="G166" s="13">
        <v>4400.482164</v>
      </c>
      <c r="H166" s="13">
        <v>0</v>
      </c>
      <c r="I166" s="13">
        <v>0</v>
      </c>
      <c r="J166" s="13">
        <v>0</v>
      </c>
      <c r="K166" s="13">
        <v>0</v>
      </c>
      <c r="L166" s="13">
        <v>0</v>
      </c>
      <c r="M166" s="95">
        <v>0</v>
      </c>
    </row>
    <row r="167" spans="1:13" ht="24.75" hidden="1" customHeight="1" x14ac:dyDescent="0.2">
      <c r="A167" s="98" t="s">
        <v>1223</v>
      </c>
      <c r="B167" s="51" t="s">
        <v>1224</v>
      </c>
      <c r="C167" s="52" t="s">
        <v>46</v>
      </c>
      <c r="D167" s="13">
        <v>208.8</v>
      </c>
      <c r="E167" s="13"/>
      <c r="F167" s="13">
        <v>82.05</v>
      </c>
      <c r="G167" s="13">
        <v>17132.04</v>
      </c>
      <c r="H167" s="13">
        <v>0</v>
      </c>
      <c r="I167" s="13">
        <v>0</v>
      </c>
      <c r="J167" s="13">
        <v>0</v>
      </c>
      <c r="K167" s="13">
        <v>0</v>
      </c>
      <c r="L167" s="13">
        <v>0</v>
      </c>
      <c r="M167" s="95">
        <v>0</v>
      </c>
    </row>
    <row r="168" spans="1:13" ht="24.75" customHeight="1" x14ac:dyDescent="0.2">
      <c r="A168" s="96" t="s">
        <v>266</v>
      </c>
      <c r="B168" s="15" t="s">
        <v>267</v>
      </c>
      <c r="C168" s="15"/>
      <c r="D168" s="19"/>
      <c r="E168" s="18"/>
      <c r="F168" s="18"/>
      <c r="G168" s="19">
        <v>511656.49664258742</v>
      </c>
      <c r="H168" s="19"/>
      <c r="I168" s="18"/>
      <c r="J168" s="19"/>
      <c r="K168" s="19">
        <v>409324.30427208747</v>
      </c>
      <c r="L168" s="19">
        <v>0</v>
      </c>
      <c r="M168" s="97">
        <v>409324.30427208747</v>
      </c>
    </row>
    <row r="169" spans="1:13" ht="43.5" customHeight="1" x14ac:dyDescent="0.2">
      <c r="A169" s="94" t="s">
        <v>268</v>
      </c>
      <c r="B169" s="11" t="s">
        <v>269</v>
      </c>
      <c r="C169" s="12" t="s">
        <v>31</v>
      </c>
      <c r="D169" s="13">
        <v>3437.62</v>
      </c>
      <c r="E169" s="13">
        <v>120.39175800000001</v>
      </c>
      <c r="F169" s="13">
        <v>148.84033041540002</v>
      </c>
      <c r="G169" s="13">
        <v>511656.49664258742</v>
      </c>
      <c r="H169" s="13">
        <v>2750.09</v>
      </c>
      <c r="I169" s="13">
        <v>0</v>
      </c>
      <c r="J169" s="13">
        <v>2750.09</v>
      </c>
      <c r="K169" s="13">
        <v>409324.30427208747</v>
      </c>
      <c r="L169" s="13">
        <v>0</v>
      </c>
      <c r="M169" s="95">
        <v>409324.30427208747</v>
      </c>
    </row>
    <row r="170" spans="1:13" ht="24.75" customHeight="1" x14ac:dyDescent="0.2">
      <c r="A170" s="96" t="s">
        <v>270</v>
      </c>
      <c r="B170" s="15" t="s">
        <v>271</v>
      </c>
      <c r="C170" s="15"/>
      <c r="D170" s="19"/>
      <c r="E170" s="18"/>
      <c r="F170" s="18"/>
      <c r="G170" s="19">
        <v>521037.70127601997</v>
      </c>
      <c r="H170" s="19"/>
      <c r="I170" s="18"/>
      <c r="J170" s="19"/>
      <c r="K170" s="19">
        <v>0</v>
      </c>
      <c r="L170" s="19">
        <v>417414.29889999999</v>
      </c>
      <c r="M170" s="97">
        <v>417414.29889999999</v>
      </c>
    </row>
    <row r="171" spans="1:13" ht="24.75" hidden="1" customHeight="1" x14ac:dyDescent="0.2">
      <c r="A171" s="94" t="s">
        <v>272</v>
      </c>
      <c r="B171" s="11" t="s">
        <v>273</v>
      </c>
      <c r="C171" s="12" t="s">
        <v>274</v>
      </c>
      <c r="D171" s="13">
        <v>13</v>
      </c>
      <c r="E171" s="13">
        <v>2153.0117999999998</v>
      </c>
      <c r="F171" s="13">
        <v>2661.7684883399997</v>
      </c>
      <c r="G171" s="13">
        <v>34602.990348419997</v>
      </c>
      <c r="H171" s="13">
        <v>0</v>
      </c>
      <c r="I171" s="13">
        <v>0</v>
      </c>
      <c r="J171" s="13">
        <v>0</v>
      </c>
      <c r="K171" s="13">
        <v>0</v>
      </c>
      <c r="L171" s="13">
        <v>0</v>
      </c>
      <c r="M171" s="95">
        <v>0</v>
      </c>
    </row>
    <row r="172" spans="1:13" ht="24.75" customHeight="1" x14ac:dyDescent="0.2">
      <c r="A172" s="94" t="s">
        <v>275</v>
      </c>
      <c r="B172" s="11" t="s">
        <v>276</v>
      </c>
      <c r="C172" s="12" t="s">
        <v>28</v>
      </c>
      <c r="D172" s="13">
        <v>2</v>
      </c>
      <c r="E172" s="13">
        <v>2914.6871999999994</v>
      </c>
      <c r="F172" s="13">
        <v>3603.4277853599992</v>
      </c>
      <c r="G172" s="13">
        <v>7206.8555707199985</v>
      </c>
      <c r="H172" s="13">
        <v>0</v>
      </c>
      <c r="I172" s="344">
        <v>0</v>
      </c>
      <c r="J172" s="13">
        <v>0</v>
      </c>
      <c r="K172" s="13">
        <v>0</v>
      </c>
      <c r="L172" s="13">
        <v>0</v>
      </c>
      <c r="M172" s="95">
        <v>0</v>
      </c>
    </row>
    <row r="173" spans="1:13" ht="24.75" hidden="1" customHeight="1" x14ac:dyDescent="0.2">
      <c r="A173" s="94" t="s">
        <v>277</v>
      </c>
      <c r="B173" s="11" t="s">
        <v>278</v>
      </c>
      <c r="C173" s="12" t="s">
        <v>28</v>
      </c>
      <c r="D173" s="13">
        <v>15</v>
      </c>
      <c r="E173" s="13">
        <v>1452.9035999999996</v>
      </c>
      <c r="F173" s="13">
        <v>1796.2247206799996</v>
      </c>
      <c r="G173" s="13">
        <v>26943.370810199995</v>
      </c>
      <c r="H173" s="13">
        <v>0</v>
      </c>
      <c r="I173" s="13">
        <v>0</v>
      </c>
      <c r="J173" s="13">
        <v>0</v>
      </c>
      <c r="K173" s="13">
        <v>0</v>
      </c>
      <c r="L173" s="13">
        <v>0</v>
      </c>
      <c r="M173" s="95">
        <v>0</v>
      </c>
    </row>
    <row r="174" spans="1:13" ht="24.75" hidden="1" customHeight="1" x14ac:dyDescent="0.2">
      <c r="A174" s="94" t="s">
        <v>279</v>
      </c>
      <c r="B174" s="11" t="s">
        <v>280</v>
      </c>
      <c r="C174" s="12" t="s">
        <v>28</v>
      </c>
      <c r="D174" s="13">
        <v>3</v>
      </c>
      <c r="E174" s="13">
        <v>2769.5351999999998</v>
      </c>
      <c r="F174" s="13">
        <v>3423.9763677599999</v>
      </c>
      <c r="G174" s="13">
        <v>10271.929103279999</v>
      </c>
      <c r="H174" s="13">
        <v>0</v>
      </c>
      <c r="I174" s="13">
        <v>0</v>
      </c>
      <c r="J174" s="13">
        <v>0</v>
      </c>
      <c r="K174" s="13">
        <v>0</v>
      </c>
      <c r="L174" s="13">
        <v>0</v>
      </c>
      <c r="M174" s="95">
        <v>0</v>
      </c>
    </row>
    <row r="175" spans="1:13" ht="24.75" hidden="1" customHeight="1" x14ac:dyDescent="0.2">
      <c r="A175" s="94" t="s">
        <v>281</v>
      </c>
      <c r="B175" s="11" t="s">
        <v>282</v>
      </c>
      <c r="C175" s="12" t="s">
        <v>28</v>
      </c>
      <c r="D175" s="13">
        <v>17</v>
      </c>
      <c r="E175" s="13">
        <v>1074.2539999999999</v>
      </c>
      <c r="F175" s="13">
        <v>1328.1002202</v>
      </c>
      <c r="G175" s="13">
        <v>22577.703743400001</v>
      </c>
      <c r="H175" s="13">
        <v>0</v>
      </c>
      <c r="I175" s="13">
        <v>0</v>
      </c>
      <c r="J175" s="13">
        <v>0</v>
      </c>
      <c r="K175" s="13">
        <v>0</v>
      </c>
      <c r="L175" s="13">
        <v>0</v>
      </c>
      <c r="M175" s="95">
        <v>0</v>
      </c>
    </row>
    <row r="176" spans="1:13" ht="24.75" hidden="1" customHeight="1" x14ac:dyDescent="0.2">
      <c r="A176" s="94" t="s">
        <v>283</v>
      </c>
      <c r="B176" s="11" t="s">
        <v>284</v>
      </c>
      <c r="C176" s="12" t="s">
        <v>28</v>
      </c>
      <c r="D176" s="13">
        <v>0</v>
      </c>
      <c r="E176" s="13">
        <v>674.47440000000006</v>
      </c>
      <c r="F176" s="13">
        <v>833.85270072000003</v>
      </c>
      <c r="G176" s="13">
        <v>0</v>
      </c>
      <c r="H176" s="13">
        <v>0</v>
      </c>
      <c r="I176" s="13">
        <v>0</v>
      </c>
      <c r="J176" s="13">
        <v>0</v>
      </c>
      <c r="K176" s="13">
        <v>0</v>
      </c>
      <c r="L176" s="13">
        <v>0</v>
      </c>
      <c r="M176" s="95">
        <v>0</v>
      </c>
    </row>
    <row r="177" spans="1:13" ht="24.75" hidden="1" customHeight="1" x14ac:dyDescent="0.2">
      <c r="A177" s="94" t="s">
        <v>285</v>
      </c>
      <c r="B177" s="11" t="s">
        <v>286</v>
      </c>
      <c r="C177" s="12" t="s">
        <v>28</v>
      </c>
      <c r="D177" s="13">
        <v>0</v>
      </c>
      <c r="E177" s="13">
        <v>686.39159999999993</v>
      </c>
      <c r="F177" s="13">
        <v>848.5859350799999</v>
      </c>
      <c r="G177" s="13">
        <v>0</v>
      </c>
      <c r="H177" s="13">
        <v>0</v>
      </c>
      <c r="I177" s="13">
        <v>0</v>
      </c>
      <c r="J177" s="13">
        <v>0</v>
      </c>
      <c r="K177" s="13">
        <v>0</v>
      </c>
      <c r="L177" s="13">
        <v>0</v>
      </c>
      <c r="M177" s="95">
        <v>0</v>
      </c>
    </row>
    <row r="178" spans="1:13" ht="24.75" hidden="1" customHeight="1" x14ac:dyDescent="0.2">
      <c r="A178" s="94" t="s">
        <v>287</v>
      </c>
      <c r="B178" s="11" t="s">
        <v>288</v>
      </c>
      <c r="C178" s="12" t="s">
        <v>28</v>
      </c>
      <c r="D178" s="13">
        <v>0</v>
      </c>
      <c r="E178" s="13">
        <v>898.26440000000002</v>
      </c>
      <c r="F178" s="13">
        <v>1110.5242777200001</v>
      </c>
      <c r="G178" s="13">
        <v>0</v>
      </c>
      <c r="H178" s="13">
        <v>0</v>
      </c>
      <c r="I178" s="13">
        <v>0</v>
      </c>
      <c r="J178" s="13">
        <v>0</v>
      </c>
      <c r="K178" s="13">
        <v>0</v>
      </c>
      <c r="L178" s="13">
        <v>0</v>
      </c>
      <c r="M178" s="95">
        <v>0</v>
      </c>
    </row>
    <row r="179" spans="1:13" ht="24.75" hidden="1" customHeight="1" x14ac:dyDescent="0.2">
      <c r="A179" s="94" t="s">
        <v>289</v>
      </c>
      <c r="B179" s="11" t="s">
        <v>290</v>
      </c>
      <c r="C179" s="12" t="s">
        <v>31</v>
      </c>
      <c r="D179" s="13">
        <v>0</v>
      </c>
      <c r="E179" s="13">
        <v>1090.63909352</v>
      </c>
      <c r="F179" s="13">
        <v>1348.3571113187759</v>
      </c>
      <c r="G179" s="13">
        <v>0</v>
      </c>
      <c r="H179" s="13">
        <v>0</v>
      </c>
      <c r="I179" s="13">
        <v>0</v>
      </c>
      <c r="J179" s="13">
        <v>0</v>
      </c>
      <c r="K179" s="13">
        <v>0</v>
      </c>
      <c r="L179" s="13">
        <v>0</v>
      </c>
      <c r="M179" s="95">
        <v>0</v>
      </c>
    </row>
    <row r="180" spans="1:13" ht="53.25" customHeight="1" x14ac:dyDescent="0.2">
      <c r="A180" s="98" t="s">
        <v>1225</v>
      </c>
      <c r="B180" s="51" t="s">
        <v>1226</v>
      </c>
      <c r="C180" s="52" t="s">
        <v>31</v>
      </c>
      <c r="D180" s="13">
        <v>5.94</v>
      </c>
      <c r="E180" s="13"/>
      <c r="F180" s="13">
        <v>841.89</v>
      </c>
      <c r="G180" s="13">
        <v>5000.8266000000003</v>
      </c>
      <c r="H180" s="13">
        <v>0</v>
      </c>
      <c r="I180" s="13">
        <v>5.94</v>
      </c>
      <c r="J180" s="13">
        <v>5.94</v>
      </c>
      <c r="K180" s="13">
        <v>0</v>
      </c>
      <c r="L180" s="13">
        <v>5000.8266000000003</v>
      </c>
      <c r="M180" s="95">
        <v>5000.8266000000003</v>
      </c>
    </row>
    <row r="181" spans="1:13" ht="54.75" customHeight="1" x14ac:dyDescent="0.2">
      <c r="A181" s="98" t="s">
        <v>1227</v>
      </c>
      <c r="B181" s="51" t="s">
        <v>1228</v>
      </c>
      <c r="C181" s="52" t="s">
        <v>31</v>
      </c>
      <c r="D181" s="13">
        <v>124.96</v>
      </c>
      <c r="E181" s="13"/>
      <c r="F181" s="13">
        <v>958.36</v>
      </c>
      <c r="G181" s="13">
        <v>119756.66559999999</v>
      </c>
      <c r="H181" s="13">
        <v>0</v>
      </c>
      <c r="I181" s="13">
        <v>124.96</v>
      </c>
      <c r="J181" s="13">
        <v>124.96</v>
      </c>
      <c r="K181" s="13">
        <v>0</v>
      </c>
      <c r="L181" s="13">
        <v>119756.66559999999</v>
      </c>
      <c r="M181" s="95">
        <v>119756.66559999999</v>
      </c>
    </row>
    <row r="182" spans="1:13" ht="47.25" customHeight="1" x14ac:dyDescent="0.2">
      <c r="A182" s="98" t="s">
        <v>1229</v>
      </c>
      <c r="B182" s="51" t="s">
        <v>1230</v>
      </c>
      <c r="C182" s="52" t="s">
        <v>31</v>
      </c>
      <c r="D182" s="13">
        <v>28.58</v>
      </c>
      <c r="E182" s="13"/>
      <c r="F182" s="13">
        <v>1796.64</v>
      </c>
      <c r="G182" s="13">
        <v>51347.9712</v>
      </c>
      <c r="H182" s="13">
        <v>0</v>
      </c>
      <c r="I182" s="13">
        <v>28.58</v>
      </c>
      <c r="J182" s="13">
        <v>28.58</v>
      </c>
      <c r="K182" s="13">
        <v>0</v>
      </c>
      <c r="L182" s="13">
        <v>51347.9712</v>
      </c>
      <c r="M182" s="95">
        <v>51347.9712</v>
      </c>
    </row>
    <row r="183" spans="1:13" ht="24.75" customHeight="1" x14ac:dyDescent="0.2">
      <c r="A183" s="98" t="s">
        <v>1231</v>
      </c>
      <c r="B183" s="51" t="s">
        <v>1232</v>
      </c>
      <c r="C183" s="52" t="s">
        <v>46</v>
      </c>
      <c r="D183" s="13">
        <v>513.52</v>
      </c>
      <c r="E183" s="13"/>
      <c r="F183" s="13">
        <v>31.19</v>
      </c>
      <c r="G183" s="13">
        <v>16016.6888</v>
      </c>
      <c r="H183" s="13">
        <v>0</v>
      </c>
      <c r="I183" s="13">
        <v>513.52</v>
      </c>
      <c r="J183" s="13">
        <v>513.52</v>
      </c>
      <c r="K183" s="13">
        <v>0</v>
      </c>
      <c r="L183" s="13">
        <v>16016.6888</v>
      </c>
      <c r="M183" s="95">
        <v>16016.6888</v>
      </c>
    </row>
    <row r="184" spans="1:13" ht="27" customHeight="1" x14ac:dyDescent="0.2">
      <c r="A184" s="98" t="s">
        <v>1233</v>
      </c>
      <c r="B184" s="51" t="s">
        <v>1234</v>
      </c>
      <c r="C184" s="52" t="s">
        <v>13</v>
      </c>
      <c r="D184" s="13">
        <v>17</v>
      </c>
      <c r="E184" s="13"/>
      <c r="F184" s="13">
        <v>1754.96</v>
      </c>
      <c r="G184" s="13">
        <v>29834.32</v>
      </c>
      <c r="H184" s="13">
        <v>0</v>
      </c>
      <c r="I184" s="13">
        <v>17</v>
      </c>
      <c r="J184" s="13">
        <v>17</v>
      </c>
      <c r="K184" s="13">
        <v>0</v>
      </c>
      <c r="L184" s="13">
        <v>29834.32</v>
      </c>
      <c r="M184" s="95">
        <v>29834.32</v>
      </c>
    </row>
    <row r="185" spans="1:13" ht="62.25" customHeight="1" x14ac:dyDescent="0.2">
      <c r="A185" s="98" t="s">
        <v>1235</v>
      </c>
      <c r="B185" s="51" t="s">
        <v>1236</v>
      </c>
      <c r="C185" s="52" t="s">
        <v>31</v>
      </c>
      <c r="D185" s="13">
        <v>13.65</v>
      </c>
      <c r="E185" s="13"/>
      <c r="F185" s="13">
        <v>687.55</v>
      </c>
      <c r="G185" s="13">
        <v>9385.057499999999</v>
      </c>
      <c r="H185" s="13">
        <v>0</v>
      </c>
      <c r="I185" s="13">
        <v>13.65</v>
      </c>
      <c r="J185" s="13">
        <v>13.65</v>
      </c>
      <c r="K185" s="13">
        <v>0</v>
      </c>
      <c r="L185" s="13">
        <v>9385.057499999999</v>
      </c>
      <c r="M185" s="95">
        <v>9385.057499999999</v>
      </c>
    </row>
    <row r="186" spans="1:13" ht="36.75" hidden="1" customHeight="1" x14ac:dyDescent="0.2">
      <c r="A186" s="98" t="s">
        <v>1237</v>
      </c>
      <c r="B186" s="51" t="s">
        <v>1238</v>
      </c>
      <c r="C186" s="52" t="s">
        <v>31</v>
      </c>
      <c r="D186" s="13">
        <v>1.68</v>
      </c>
      <c r="E186" s="13"/>
      <c r="F186" s="13">
        <v>1202.71</v>
      </c>
      <c r="G186" s="13">
        <v>2020.5527999999999</v>
      </c>
      <c r="H186" s="13">
        <v>0</v>
      </c>
      <c r="I186" s="13">
        <v>0</v>
      </c>
      <c r="J186" s="13">
        <v>0</v>
      </c>
      <c r="K186" s="13">
        <v>0</v>
      </c>
      <c r="L186" s="13">
        <v>0</v>
      </c>
      <c r="M186" s="95">
        <v>0</v>
      </c>
    </row>
    <row r="187" spans="1:13" ht="33" customHeight="1" x14ac:dyDescent="0.2">
      <c r="A187" s="98" t="s">
        <v>1239</v>
      </c>
      <c r="B187" s="51" t="s">
        <v>1240</v>
      </c>
      <c r="C187" s="52" t="s">
        <v>31</v>
      </c>
      <c r="D187" s="13">
        <v>0.48</v>
      </c>
      <c r="E187" s="13"/>
      <c r="F187" s="13">
        <v>1000.54</v>
      </c>
      <c r="G187" s="13">
        <v>480.25919999999996</v>
      </c>
      <c r="H187" s="13">
        <v>0</v>
      </c>
      <c r="I187" s="13">
        <v>0.48</v>
      </c>
      <c r="J187" s="13">
        <v>0.48</v>
      </c>
      <c r="K187" s="13">
        <v>0</v>
      </c>
      <c r="L187" s="13">
        <v>480.25919999999996</v>
      </c>
      <c r="M187" s="95">
        <v>480.25919999999996</v>
      </c>
    </row>
    <row r="188" spans="1:13" ht="56.25" customHeight="1" x14ac:dyDescent="0.2">
      <c r="A188" s="98" t="s">
        <v>1241</v>
      </c>
      <c r="B188" s="51" t="s">
        <v>1242</v>
      </c>
      <c r="C188" s="52" t="s">
        <v>13</v>
      </c>
      <c r="D188" s="13">
        <v>41</v>
      </c>
      <c r="E188" s="13"/>
      <c r="F188" s="13">
        <v>904.76</v>
      </c>
      <c r="G188" s="13">
        <v>37095.159999999996</v>
      </c>
      <c r="H188" s="13">
        <v>0</v>
      </c>
      <c r="I188" s="13">
        <v>41</v>
      </c>
      <c r="J188" s="13">
        <v>41</v>
      </c>
      <c r="K188" s="13">
        <v>0</v>
      </c>
      <c r="L188" s="13">
        <v>37095.159999999996</v>
      </c>
      <c r="M188" s="95">
        <v>37095.159999999996</v>
      </c>
    </row>
    <row r="189" spans="1:13" ht="63.75" customHeight="1" x14ac:dyDescent="0.2">
      <c r="A189" s="98" t="s">
        <v>1243</v>
      </c>
      <c r="B189" s="51" t="s">
        <v>1244</v>
      </c>
      <c r="C189" s="52" t="s">
        <v>13</v>
      </c>
      <c r="D189" s="13">
        <v>2</v>
      </c>
      <c r="E189" s="13"/>
      <c r="F189" s="13">
        <v>906.28</v>
      </c>
      <c r="G189" s="13">
        <v>1812.56</v>
      </c>
      <c r="H189" s="13">
        <v>0</v>
      </c>
      <c r="I189" s="13">
        <v>2</v>
      </c>
      <c r="J189" s="13">
        <v>2</v>
      </c>
      <c r="K189" s="13">
        <v>0</v>
      </c>
      <c r="L189" s="13">
        <v>1812.56</v>
      </c>
      <c r="M189" s="95">
        <v>1812.56</v>
      </c>
    </row>
    <row r="190" spans="1:13" ht="60" customHeight="1" x14ac:dyDescent="0.2">
      <c r="A190" s="98" t="s">
        <v>1245</v>
      </c>
      <c r="B190" s="51" t="s">
        <v>1246</v>
      </c>
      <c r="C190" s="52" t="s">
        <v>13</v>
      </c>
      <c r="D190" s="13">
        <v>105</v>
      </c>
      <c r="E190" s="13"/>
      <c r="F190" s="13">
        <v>934.51</v>
      </c>
      <c r="G190" s="13">
        <v>98123.55</v>
      </c>
      <c r="H190" s="13">
        <v>0</v>
      </c>
      <c r="I190" s="13">
        <v>105</v>
      </c>
      <c r="J190" s="13">
        <v>105</v>
      </c>
      <c r="K190" s="13">
        <v>0</v>
      </c>
      <c r="L190" s="13">
        <v>98123.55</v>
      </c>
      <c r="M190" s="95">
        <v>98123.55</v>
      </c>
    </row>
    <row r="191" spans="1:13" ht="63" customHeight="1" x14ac:dyDescent="0.2">
      <c r="A191" s="98" t="s">
        <v>1247</v>
      </c>
      <c r="B191" s="51" t="s">
        <v>1248</v>
      </c>
      <c r="C191" s="52" t="s">
        <v>13</v>
      </c>
      <c r="D191" s="13">
        <v>42</v>
      </c>
      <c r="E191" s="13"/>
      <c r="F191" s="13">
        <v>1156.22</v>
      </c>
      <c r="G191" s="13">
        <v>48561.24</v>
      </c>
      <c r="H191" s="13">
        <v>0</v>
      </c>
      <c r="I191" s="13">
        <v>42</v>
      </c>
      <c r="J191" s="13">
        <v>42</v>
      </c>
      <c r="K191" s="13">
        <v>0</v>
      </c>
      <c r="L191" s="13">
        <v>48561.24</v>
      </c>
      <c r="M191" s="95">
        <v>48561.24</v>
      </c>
    </row>
    <row r="192" spans="1:13" ht="24.75" customHeight="1" x14ac:dyDescent="0.2">
      <c r="A192" s="96" t="s">
        <v>291</v>
      </c>
      <c r="B192" s="15" t="s">
        <v>292</v>
      </c>
      <c r="C192" s="15"/>
      <c r="D192" s="19"/>
      <c r="E192" s="18"/>
      <c r="F192" s="18"/>
      <c r="G192" s="19">
        <v>1367576.1139806674</v>
      </c>
      <c r="H192" s="19"/>
      <c r="I192" s="18"/>
      <c r="J192" s="19"/>
      <c r="K192" s="19">
        <v>1110319.5429165449</v>
      </c>
      <c r="L192" s="19">
        <v>257256.57106412249</v>
      </c>
      <c r="M192" s="97">
        <v>1367576.1139806674</v>
      </c>
    </row>
    <row r="193" spans="1:13" ht="42" customHeight="1" x14ac:dyDescent="0.2">
      <c r="A193" s="94" t="s">
        <v>293</v>
      </c>
      <c r="B193" s="11" t="s">
        <v>294</v>
      </c>
      <c r="C193" s="12" t="s">
        <v>31</v>
      </c>
      <c r="D193" s="13">
        <v>900.69</v>
      </c>
      <c r="E193" s="13">
        <v>1228.1524999999999</v>
      </c>
      <c r="F193" s="13">
        <v>1518.3649357499999</v>
      </c>
      <c r="G193" s="13">
        <v>1367576.1139806674</v>
      </c>
      <c r="H193" s="13">
        <v>731.26</v>
      </c>
      <c r="I193" s="13">
        <v>169.43</v>
      </c>
      <c r="J193" s="13">
        <v>900.69</v>
      </c>
      <c r="K193" s="13">
        <v>1110319.5429165449</v>
      </c>
      <c r="L193" s="13">
        <v>257256.57106412249</v>
      </c>
      <c r="M193" s="95">
        <v>1367576.1139806674</v>
      </c>
    </row>
    <row r="194" spans="1:13" ht="24.75" customHeight="1" x14ac:dyDescent="0.2">
      <c r="A194" s="96" t="s">
        <v>295</v>
      </c>
      <c r="B194" s="15" t="s">
        <v>296</v>
      </c>
      <c r="C194" s="15"/>
      <c r="D194" s="19"/>
      <c r="E194" s="18"/>
      <c r="F194" s="18"/>
      <c r="G194" s="19">
        <v>100098.62872764608</v>
      </c>
      <c r="H194" s="19"/>
      <c r="I194" s="18"/>
      <c r="J194" s="19"/>
      <c r="K194" s="19">
        <v>60996.639568695347</v>
      </c>
      <c r="L194" s="19">
        <v>0</v>
      </c>
      <c r="M194" s="97">
        <v>60996.639568695347</v>
      </c>
    </row>
    <row r="195" spans="1:13" ht="24.75" customHeight="1" x14ac:dyDescent="0.2">
      <c r="A195" s="94" t="s">
        <v>297</v>
      </c>
      <c r="B195" s="11" t="s">
        <v>298</v>
      </c>
      <c r="C195" s="12" t="s">
        <v>28</v>
      </c>
      <c r="D195" s="13">
        <v>46</v>
      </c>
      <c r="E195" s="13">
        <v>433.3064</v>
      </c>
      <c r="F195" s="13">
        <v>535.69670231999999</v>
      </c>
      <c r="G195" s="13">
        <v>24642.04830672</v>
      </c>
      <c r="H195" s="13">
        <v>46</v>
      </c>
      <c r="I195" s="13">
        <v>0</v>
      </c>
      <c r="J195" s="13">
        <v>46</v>
      </c>
      <c r="K195" s="13">
        <v>24642.04830672</v>
      </c>
      <c r="L195" s="13">
        <v>0</v>
      </c>
      <c r="M195" s="95">
        <v>24642.04830672</v>
      </c>
    </row>
    <row r="196" spans="1:13" ht="24.75" customHeight="1" x14ac:dyDescent="0.2">
      <c r="A196" s="94" t="s">
        <v>299</v>
      </c>
      <c r="B196" s="11" t="s">
        <v>300</v>
      </c>
      <c r="C196" s="12" t="s">
        <v>28</v>
      </c>
      <c r="D196" s="13">
        <v>16</v>
      </c>
      <c r="E196" s="13">
        <v>804.05</v>
      </c>
      <c r="F196" s="13">
        <v>994.04</v>
      </c>
      <c r="G196" s="13">
        <v>15904.64</v>
      </c>
      <c r="H196" s="13">
        <v>16</v>
      </c>
      <c r="I196" s="13">
        <v>0</v>
      </c>
      <c r="J196" s="13">
        <v>16</v>
      </c>
      <c r="K196" s="13">
        <v>15904.64</v>
      </c>
      <c r="L196" s="13">
        <v>0</v>
      </c>
      <c r="M196" s="95">
        <v>15904.64</v>
      </c>
    </row>
    <row r="197" spans="1:13" ht="24.75" customHeight="1" x14ac:dyDescent="0.2">
      <c r="A197" s="94" t="s">
        <v>301</v>
      </c>
      <c r="B197" s="11" t="s">
        <v>302</v>
      </c>
      <c r="C197" s="12" t="s">
        <v>28</v>
      </c>
      <c r="D197" s="13">
        <v>62</v>
      </c>
      <c r="E197" s="13">
        <v>41.57</v>
      </c>
      <c r="F197" s="13">
        <v>51.39</v>
      </c>
      <c r="G197" s="13">
        <v>3186.18</v>
      </c>
      <c r="H197" s="13">
        <v>0</v>
      </c>
      <c r="I197" s="13">
        <v>0</v>
      </c>
      <c r="J197" s="13">
        <v>0</v>
      </c>
      <c r="K197" s="13">
        <v>0</v>
      </c>
      <c r="L197" s="13">
        <v>0</v>
      </c>
      <c r="M197" s="95">
        <v>0</v>
      </c>
    </row>
    <row r="198" spans="1:13" ht="24.75" hidden="1" customHeight="1" x14ac:dyDescent="0.2">
      <c r="A198" s="94" t="s">
        <v>303</v>
      </c>
      <c r="B198" s="11" t="s">
        <v>304</v>
      </c>
      <c r="C198" s="12" t="s">
        <v>28</v>
      </c>
      <c r="D198" s="13">
        <v>28</v>
      </c>
      <c r="E198" s="13">
        <v>299.33749999999998</v>
      </c>
      <c r="F198" s="13">
        <v>370.07095125000001</v>
      </c>
      <c r="G198" s="13">
        <v>10361.986635000001</v>
      </c>
      <c r="H198" s="13">
        <v>0</v>
      </c>
      <c r="I198" s="13">
        <v>0</v>
      </c>
      <c r="J198" s="13">
        <v>0</v>
      </c>
      <c r="K198" s="13">
        <v>0</v>
      </c>
      <c r="L198" s="13">
        <v>0</v>
      </c>
      <c r="M198" s="95">
        <v>0</v>
      </c>
    </row>
    <row r="199" spans="1:13" ht="24.75" hidden="1" customHeight="1" x14ac:dyDescent="0.2">
      <c r="A199" s="94" t="s">
        <v>305</v>
      </c>
      <c r="B199" s="11" t="s">
        <v>306</v>
      </c>
      <c r="C199" s="12" t="s">
        <v>28</v>
      </c>
      <c r="D199" s="13">
        <v>4</v>
      </c>
      <c r="E199" s="13">
        <v>106.65</v>
      </c>
      <c r="F199" s="13">
        <v>131.85</v>
      </c>
      <c r="G199" s="13">
        <v>527.4</v>
      </c>
      <c r="H199" s="13">
        <v>0</v>
      </c>
      <c r="I199" s="13">
        <v>0</v>
      </c>
      <c r="J199" s="13">
        <v>0</v>
      </c>
      <c r="K199" s="13">
        <v>0</v>
      </c>
      <c r="L199" s="13">
        <v>0</v>
      </c>
      <c r="M199" s="95">
        <v>0</v>
      </c>
    </row>
    <row r="200" spans="1:13" ht="24.75" hidden="1" customHeight="1" x14ac:dyDescent="0.2">
      <c r="A200" s="94" t="s">
        <v>307</v>
      </c>
      <c r="B200" s="11" t="s">
        <v>308</v>
      </c>
      <c r="C200" s="12" t="s">
        <v>28</v>
      </c>
      <c r="D200" s="13">
        <v>2</v>
      </c>
      <c r="E200" s="13">
        <v>684.08</v>
      </c>
      <c r="F200" s="13">
        <v>845.72</v>
      </c>
      <c r="G200" s="13">
        <v>1691.44</v>
      </c>
      <c r="H200" s="13">
        <v>0</v>
      </c>
      <c r="I200" s="13">
        <v>0</v>
      </c>
      <c r="J200" s="13">
        <v>0</v>
      </c>
      <c r="K200" s="13">
        <v>0</v>
      </c>
      <c r="L200" s="13">
        <v>0</v>
      </c>
      <c r="M200" s="95">
        <v>0</v>
      </c>
    </row>
    <row r="201" spans="1:13" ht="55.5" hidden="1" customHeight="1" x14ac:dyDescent="0.2">
      <c r="A201" s="94" t="s">
        <v>309</v>
      </c>
      <c r="B201" s="11" t="s">
        <v>310</v>
      </c>
      <c r="C201" s="12" t="s">
        <v>28</v>
      </c>
      <c r="D201" s="13">
        <v>0</v>
      </c>
      <c r="E201" s="13">
        <v>930.93</v>
      </c>
      <c r="F201" s="13">
        <v>1150.9000000000001</v>
      </c>
      <c r="G201" s="13">
        <v>0</v>
      </c>
      <c r="H201" s="13">
        <v>0</v>
      </c>
      <c r="I201" s="13">
        <v>0</v>
      </c>
      <c r="J201" s="13">
        <v>0</v>
      </c>
      <c r="K201" s="13">
        <v>0</v>
      </c>
      <c r="L201" s="13">
        <v>0</v>
      </c>
      <c r="M201" s="95">
        <v>0</v>
      </c>
    </row>
    <row r="202" spans="1:13" ht="52.5" customHeight="1" x14ac:dyDescent="0.2">
      <c r="A202" s="94" t="s">
        <v>311</v>
      </c>
      <c r="B202" s="11" t="s">
        <v>312</v>
      </c>
      <c r="C202" s="12" t="s">
        <v>28</v>
      </c>
      <c r="D202" s="13">
        <v>48</v>
      </c>
      <c r="E202" s="13">
        <v>530.13787420000006</v>
      </c>
      <c r="F202" s="13">
        <v>655.40945387346005</v>
      </c>
      <c r="G202" s="13">
        <v>31459.653785926082</v>
      </c>
      <c r="H202" s="13">
        <v>16</v>
      </c>
      <c r="I202" s="13">
        <v>0</v>
      </c>
      <c r="J202" s="13">
        <v>16</v>
      </c>
      <c r="K202" s="13">
        <v>10486.551261975361</v>
      </c>
      <c r="L202" s="13">
        <v>0</v>
      </c>
      <c r="M202" s="95">
        <v>10486.551261975361</v>
      </c>
    </row>
    <row r="203" spans="1:13" ht="52.5" hidden="1" customHeight="1" x14ac:dyDescent="0.2">
      <c r="A203" s="98" t="s">
        <v>1249</v>
      </c>
      <c r="B203" s="51" t="s">
        <v>783</v>
      </c>
      <c r="C203" s="52" t="s">
        <v>28</v>
      </c>
      <c r="D203" s="13">
        <v>3</v>
      </c>
      <c r="E203" s="13"/>
      <c r="F203" s="13">
        <v>571.46</v>
      </c>
      <c r="G203" s="13">
        <v>1714.38</v>
      </c>
      <c r="H203" s="13">
        <v>0</v>
      </c>
      <c r="I203" s="13">
        <v>0</v>
      </c>
      <c r="J203" s="13">
        <v>0</v>
      </c>
      <c r="K203" s="13">
        <v>0</v>
      </c>
      <c r="L203" s="13">
        <v>0</v>
      </c>
      <c r="M203" s="95">
        <v>0</v>
      </c>
    </row>
    <row r="204" spans="1:13" ht="36.75" hidden="1" customHeight="1" x14ac:dyDescent="0.2">
      <c r="A204" s="98" t="s">
        <v>1250</v>
      </c>
      <c r="B204" s="51" t="s">
        <v>785</v>
      </c>
      <c r="C204" s="52" t="s">
        <v>28</v>
      </c>
      <c r="D204" s="13">
        <v>3</v>
      </c>
      <c r="E204" s="13"/>
      <c r="F204" s="13">
        <v>145.16999999999999</v>
      </c>
      <c r="G204" s="13">
        <v>435.51</v>
      </c>
      <c r="H204" s="13">
        <v>0</v>
      </c>
      <c r="I204" s="13">
        <v>0</v>
      </c>
      <c r="J204" s="13">
        <v>0</v>
      </c>
      <c r="K204" s="13">
        <v>0</v>
      </c>
      <c r="L204" s="13">
        <v>0</v>
      </c>
      <c r="M204" s="95">
        <v>0</v>
      </c>
    </row>
    <row r="205" spans="1:13" ht="36.75" hidden="1" customHeight="1" x14ac:dyDescent="0.2">
      <c r="A205" s="98" t="s">
        <v>1251</v>
      </c>
      <c r="B205" s="51" t="s">
        <v>364</v>
      </c>
      <c r="C205" s="52" t="s">
        <v>28</v>
      </c>
      <c r="D205" s="13">
        <v>17</v>
      </c>
      <c r="E205" s="13"/>
      <c r="F205" s="13">
        <v>12.47</v>
      </c>
      <c r="G205" s="13">
        <v>211.99</v>
      </c>
      <c r="H205" s="13">
        <v>0</v>
      </c>
      <c r="I205" s="13">
        <v>0</v>
      </c>
      <c r="J205" s="13">
        <v>0</v>
      </c>
      <c r="K205" s="13">
        <v>0</v>
      </c>
      <c r="L205" s="13">
        <v>0</v>
      </c>
      <c r="M205" s="95">
        <v>0</v>
      </c>
    </row>
    <row r="206" spans="1:13" ht="45" customHeight="1" x14ac:dyDescent="0.2">
      <c r="A206" s="98" t="s">
        <v>1252</v>
      </c>
      <c r="B206" s="51" t="s">
        <v>1253</v>
      </c>
      <c r="C206" s="52" t="s">
        <v>28</v>
      </c>
      <c r="D206" s="13">
        <v>4</v>
      </c>
      <c r="E206" s="13"/>
      <c r="F206" s="13">
        <v>1417.14</v>
      </c>
      <c r="G206" s="13">
        <v>5668.56</v>
      </c>
      <c r="H206" s="13">
        <v>4</v>
      </c>
      <c r="I206" s="13">
        <v>0</v>
      </c>
      <c r="J206" s="13">
        <v>4</v>
      </c>
      <c r="K206" s="13">
        <v>5668.56</v>
      </c>
      <c r="L206" s="13">
        <v>0</v>
      </c>
      <c r="M206" s="95">
        <v>5668.56</v>
      </c>
    </row>
    <row r="207" spans="1:13" ht="52.5" customHeight="1" x14ac:dyDescent="0.2">
      <c r="A207" s="98" t="s">
        <v>1254</v>
      </c>
      <c r="B207" s="51" t="s">
        <v>1255</v>
      </c>
      <c r="C207" s="52" t="s">
        <v>28</v>
      </c>
      <c r="D207" s="13">
        <v>2</v>
      </c>
      <c r="E207" s="13"/>
      <c r="F207" s="13">
        <v>2147.42</v>
      </c>
      <c r="G207" s="13">
        <v>4294.84</v>
      </c>
      <c r="H207" s="13">
        <v>2</v>
      </c>
      <c r="I207" s="13">
        <v>0</v>
      </c>
      <c r="J207" s="13">
        <v>2</v>
      </c>
      <c r="K207" s="13">
        <v>4294.84</v>
      </c>
      <c r="L207" s="13">
        <v>0</v>
      </c>
      <c r="M207" s="95">
        <v>4294.84</v>
      </c>
    </row>
    <row r="208" spans="1:13" ht="24.75" customHeight="1" x14ac:dyDescent="0.2">
      <c r="A208" s="96" t="s">
        <v>313</v>
      </c>
      <c r="B208" s="15" t="s">
        <v>1123</v>
      </c>
      <c r="C208" s="15"/>
      <c r="D208" s="19"/>
      <c r="E208" s="18"/>
      <c r="F208" s="18"/>
      <c r="G208" s="19">
        <v>322266.62527126196</v>
      </c>
      <c r="H208" s="19"/>
      <c r="I208" s="18"/>
      <c r="J208" s="19"/>
      <c r="K208" s="19">
        <v>217748.9994536</v>
      </c>
      <c r="L208" s="19">
        <v>13562.931200000001</v>
      </c>
      <c r="M208" s="97">
        <v>231311.93065360002</v>
      </c>
    </row>
    <row r="209" spans="1:13" ht="24.75" customHeight="1" x14ac:dyDescent="0.2">
      <c r="A209" s="96" t="s">
        <v>315</v>
      </c>
      <c r="B209" s="15" t="s">
        <v>316</v>
      </c>
      <c r="C209" s="15"/>
      <c r="D209" s="19"/>
      <c r="E209" s="18"/>
      <c r="F209" s="18"/>
      <c r="G209" s="19">
        <v>102906.99812175499</v>
      </c>
      <c r="H209" s="19"/>
      <c r="I209" s="18"/>
      <c r="J209" s="19"/>
      <c r="K209" s="19">
        <v>54848.194600000003</v>
      </c>
      <c r="L209" s="19">
        <v>10340.2456</v>
      </c>
      <c r="M209" s="97">
        <v>65188.440200000005</v>
      </c>
    </row>
    <row r="210" spans="1:13" ht="24.75" hidden="1" customHeight="1" x14ac:dyDescent="0.2">
      <c r="A210" s="94" t="s">
        <v>317</v>
      </c>
      <c r="B210" s="11" t="s">
        <v>318</v>
      </c>
      <c r="C210" s="12" t="s">
        <v>28</v>
      </c>
      <c r="D210" s="13">
        <v>2</v>
      </c>
      <c r="E210" s="13">
        <v>2401.1328000000003</v>
      </c>
      <c r="F210" s="13">
        <v>2968.5204806400006</v>
      </c>
      <c r="G210" s="13">
        <v>5937.0409612800013</v>
      </c>
      <c r="H210" s="13">
        <v>0</v>
      </c>
      <c r="I210" s="13">
        <v>0</v>
      </c>
      <c r="J210" s="13">
        <v>0</v>
      </c>
      <c r="K210" s="13">
        <v>0</v>
      </c>
      <c r="L210" s="13">
        <v>0</v>
      </c>
      <c r="M210" s="95">
        <v>0</v>
      </c>
    </row>
    <row r="211" spans="1:13" ht="24.75" hidden="1" customHeight="1" x14ac:dyDescent="0.2">
      <c r="A211" s="94" t="s">
        <v>319</v>
      </c>
      <c r="B211" s="11" t="s">
        <v>320</v>
      </c>
      <c r="C211" s="12" t="s">
        <v>28</v>
      </c>
      <c r="D211" s="13">
        <v>3</v>
      </c>
      <c r="E211" s="13">
        <v>132.44999999999999</v>
      </c>
      <c r="F211" s="13">
        <v>163.74</v>
      </c>
      <c r="G211" s="13">
        <v>491.22</v>
      </c>
      <c r="H211" s="13">
        <v>0</v>
      </c>
      <c r="I211" s="13">
        <v>0</v>
      </c>
      <c r="J211" s="13">
        <v>0</v>
      </c>
      <c r="K211" s="13">
        <v>0</v>
      </c>
      <c r="L211" s="13">
        <v>0</v>
      </c>
      <c r="M211" s="95">
        <v>0</v>
      </c>
    </row>
    <row r="212" spans="1:13" ht="24.75" hidden="1" customHeight="1" x14ac:dyDescent="0.2">
      <c r="A212" s="94" t="s">
        <v>321</v>
      </c>
      <c r="B212" s="11" t="s">
        <v>322</v>
      </c>
      <c r="C212" s="12" t="s">
        <v>28</v>
      </c>
      <c r="D212" s="13">
        <v>1</v>
      </c>
      <c r="E212" s="13">
        <v>108.54</v>
      </c>
      <c r="F212" s="13">
        <v>134.18</v>
      </c>
      <c r="G212" s="13">
        <v>134.18</v>
      </c>
      <c r="H212" s="13">
        <v>0</v>
      </c>
      <c r="I212" s="13">
        <v>0</v>
      </c>
      <c r="J212" s="13">
        <v>0</v>
      </c>
      <c r="K212" s="13">
        <v>0</v>
      </c>
      <c r="L212" s="13">
        <v>0</v>
      </c>
      <c r="M212" s="95">
        <v>0</v>
      </c>
    </row>
    <row r="213" spans="1:13" ht="24.75" hidden="1" customHeight="1" x14ac:dyDescent="0.2">
      <c r="A213" s="94" t="s">
        <v>323</v>
      </c>
      <c r="B213" s="11" t="s">
        <v>324</v>
      </c>
      <c r="C213" s="12" t="s">
        <v>28</v>
      </c>
      <c r="D213" s="13">
        <v>3</v>
      </c>
      <c r="E213" s="13">
        <v>182.32</v>
      </c>
      <c r="F213" s="13">
        <v>225.4</v>
      </c>
      <c r="G213" s="13">
        <v>676.2</v>
      </c>
      <c r="H213" s="13">
        <v>0</v>
      </c>
      <c r="I213" s="13">
        <v>0</v>
      </c>
      <c r="J213" s="13">
        <v>0</v>
      </c>
      <c r="K213" s="13">
        <v>0</v>
      </c>
      <c r="L213" s="13">
        <v>0</v>
      </c>
      <c r="M213" s="95">
        <v>0</v>
      </c>
    </row>
    <row r="214" spans="1:13" ht="24.75" hidden="1" customHeight="1" x14ac:dyDescent="0.2">
      <c r="A214" s="94" t="s">
        <v>325</v>
      </c>
      <c r="B214" s="11" t="s">
        <v>326</v>
      </c>
      <c r="C214" s="12" t="s">
        <v>28</v>
      </c>
      <c r="D214" s="13">
        <v>1</v>
      </c>
      <c r="E214" s="13">
        <v>84.86</v>
      </c>
      <c r="F214" s="13">
        <v>104.91</v>
      </c>
      <c r="G214" s="13">
        <v>104.91</v>
      </c>
      <c r="H214" s="13">
        <v>0</v>
      </c>
      <c r="I214" s="13">
        <v>0</v>
      </c>
      <c r="J214" s="13">
        <v>0</v>
      </c>
      <c r="K214" s="13">
        <v>0</v>
      </c>
      <c r="L214" s="13">
        <v>0</v>
      </c>
      <c r="M214" s="95">
        <v>0</v>
      </c>
    </row>
    <row r="215" spans="1:13" ht="24.75" hidden="1" customHeight="1" x14ac:dyDescent="0.2">
      <c r="A215" s="94" t="s">
        <v>327</v>
      </c>
      <c r="B215" s="11" t="s">
        <v>328</v>
      </c>
      <c r="C215" s="12" t="s">
        <v>28</v>
      </c>
      <c r="D215" s="13">
        <v>1</v>
      </c>
      <c r="E215" s="13">
        <v>127.93</v>
      </c>
      <c r="F215" s="13">
        <v>158.15</v>
      </c>
      <c r="G215" s="13">
        <v>158.15</v>
      </c>
      <c r="H215" s="13">
        <v>0</v>
      </c>
      <c r="I215" s="13">
        <v>0</v>
      </c>
      <c r="J215" s="13">
        <v>0</v>
      </c>
      <c r="K215" s="13">
        <v>0</v>
      </c>
      <c r="L215" s="13">
        <v>0</v>
      </c>
      <c r="M215" s="95">
        <v>0</v>
      </c>
    </row>
    <row r="216" spans="1:13" ht="24.75" hidden="1" customHeight="1" x14ac:dyDescent="0.2">
      <c r="A216" s="94" t="s">
        <v>329</v>
      </c>
      <c r="B216" s="11" t="s">
        <v>330</v>
      </c>
      <c r="C216" s="12" t="s">
        <v>28</v>
      </c>
      <c r="D216" s="13">
        <v>1</v>
      </c>
      <c r="E216" s="13">
        <v>7.72</v>
      </c>
      <c r="F216" s="13">
        <v>9.5399999999999991</v>
      </c>
      <c r="G216" s="13">
        <v>9.5399999999999991</v>
      </c>
      <c r="H216" s="13">
        <v>0</v>
      </c>
      <c r="I216" s="13">
        <v>0</v>
      </c>
      <c r="J216" s="13">
        <v>0</v>
      </c>
      <c r="K216" s="13">
        <v>0</v>
      </c>
      <c r="L216" s="13">
        <v>0</v>
      </c>
      <c r="M216" s="95">
        <v>0</v>
      </c>
    </row>
    <row r="217" spans="1:13" ht="48" hidden="1" customHeight="1" x14ac:dyDescent="0.2">
      <c r="A217" s="94" t="s">
        <v>331</v>
      </c>
      <c r="B217" s="11" t="s">
        <v>332</v>
      </c>
      <c r="C217" s="12" t="s">
        <v>28</v>
      </c>
      <c r="D217" s="13">
        <v>2</v>
      </c>
      <c r="E217" s="13">
        <v>6.77</v>
      </c>
      <c r="F217" s="13">
        <v>8.36</v>
      </c>
      <c r="G217" s="13">
        <v>16.72</v>
      </c>
      <c r="H217" s="13">
        <v>0</v>
      </c>
      <c r="I217" s="13">
        <v>0</v>
      </c>
      <c r="J217" s="13">
        <v>0</v>
      </c>
      <c r="K217" s="13">
        <v>0</v>
      </c>
      <c r="L217" s="13">
        <v>0</v>
      </c>
      <c r="M217" s="95">
        <v>0</v>
      </c>
    </row>
    <row r="218" spans="1:13" ht="45" hidden="1" customHeight="1" x14ac:dyDescent="0.2">
      <c r="A218" s="94" t="s">
        <v>333</v>
      </c>
      <c r="B218" s="11" t="s">
        <v>334</v>
      </c>
      <c r="C218" s="12" t="s">
        <v>46</v>
      </c>
      <c r="D218" s="13">
        <v>33.619999999999997</v>
      </c>
      <c r="E218" s="13">
        <v>39.07</v>
      </c>
      <c r="F218" s="13">
        <v>48.3</v>
      </c>
      <c r="G218" s="13">
        <v>1623.8459999999998</v>
      </c>
      <c r="H218" s="13">
        <v>0</v>
      </c>
      <c r="I218" s="13">
        <v>0</v>
      </c>
      <c r="J218" s="13">
        <v>0</v>
      </c>
      <c r="K218" s="13">
        <v>0</v>
      </c>
      <c r="L218" s="13">
        <v>0</v>
      </c>
      <c r="M218" s="95">
        <v>0</v>
      </c>
    </row>
    <row r="219" spans="1:13" ht="48" hidden="1" customHeight="1" x14ac:dyDescent="0.2">
      <c r="A219" s="94" t="s">
        <v>335</v>
      </c>
      <c r="B219" s="11" t="s">
        <v>336</v>
      </c>
      <c r="C219" s="12" t="s">
        <v>46</v>
      </c>
      <c r="D219" s="13">
        <v>4.38</v>
      </c>
      <c r="E219" s="13">
        <v>40.380000000000003</v>
      </c>
      <c r="F219" s="13">
        <v>49.92</v>
      </c>
      <c r="G219" s="13">
        <v>218.64959999999999</v>
      </c>
      <c r="H219" s="13">
        <v>0</v>
      </c>
      <c r="I219" s="13">
        <v>0</v>
      </c>
      <c r="J219" s="13">
        <v>0</v>
      </c>
      <c r="K219" s="13">
        <v>0</v>
      </c>
      <c r="L219" s="13">
        <v>0</v>
      </c>
      <c r="M219" s="95">
        <v>0</v>
      </c>
    </row>
    <row r="220" spans="1:13" ht="48.75" hidden="1" customHeight="1" x14ac:dyDescent="0.2">
      <c r="A220" s="94" t="s">
        <v>337</v>
      </c>
      <c r="B220" s="11" t="s">
        <v>338</v>
      </c>
      <c r="C220" s="12" t="s">
        <v>46</v>
      </c>
      <c r="D220" s="13">
        <v>5.51</v>
      </c>
      <c r="E220" s="13">
        <v>33.479999999999997</v>
      </c>
      <c r="F220" s="13">
        <v>41.39</v>
      </c>
      <c r="G220" s="13">
        <v>228.05889999999999</v>
      </c>
      <c r="H220" s="13">
        <v>0</v>
      </c>
      <c r="I220" s="13">
        <v>0</v>
      </c>
      <c r="J220" s="13">
        <v>0</v>
      </c>
      <c r="K220" s="13">
        <v>0</v>
      </c>
      <c r="L220" s="13">
        <v>0</v>
      </c>
      <c r="M220" s="95">
        <v>0</v>
      </c>
    </row>
    <row r="221" spans="1:13" ht="66.75" hidden="1" customHeight="1" x14ac:dyDescent="0.2">
      <c r="A221" s="94" t="s">
        <v>339</v>
      </c>
      <c r="B221" s="11" t="s">
        <v>340</v>
      </c>
      <c r="C221" s="12" t="s">
        <v>46</v>
      </c>
      <c r="D221" s="13">
        <v>10.09</v>
      </c>
      <c r="E221" s="13">
        <v>28.46</v>
      </c>
      <c r="F221" s="13">
        <v>35.18</v>
      </c>
      <c r="G221" s="13">
        <v>354.96620000000001</v>
      </c>
      <c r="H221" s="13">
        <v>0</v>
      </c>
      <c r="I221" s="13">
        <v>0</v>
      </c>
      <c r="J221" s="13">
        <v>0</v>
      </c>
      <c r="K221" s="13">
        <v>0</v>
      </c>
      <c r="L221" s="13">
        <v>0</v>
      </c>
      <c r="M221" s="95">
        <v>0</v>
      </c>
    </row>
    <row r="222" spans="1:13" ht="65.25" customHeight="1" x14ac:dyDescent="0.2">
      <c r="A222" s="94" t="s">
        <v>341</v>
      </c>
      <c r="B222" s="11" t="s">
        <v>342</v>
      </c>
      <c r="C222" s="12" t="s">
        <v>46</v>
      </c>
      <c r="D222" s="13">
        <v>159.06</v>
      </c>
      <c r="E222" s="13">
        <v>37.83</v>
      </c>
      <c r="F222" s="13">
        <v>46.76</v>
      </c>
      <c r="G222" s="13">
        <v>7437.6455999999998</v>
      </c>
      <c r="H222" s="13">
        <v>0</v>
      </c>
      <c r="I222" s="13">
        <v>159.06</v>
      </c>
      <c r="J222" s="13">
        <v>159.06</v>
      </c>
      <c r="K222" s="13">
        <v>0</v>
      </c>
      <c r="L222" s="13">
        <v>7437.6455999999998</v>
      </c>
      <c r="M222" s="95">
        <v>7437.6455999999998</v>
      </c>
    </row>
    <row r="223" spans="1:13" ht="68.25" hidden="1" customHeight="1" x14ac:dyDescent="0.2">
      <c r="A223" s="94" t="s">
        <v>343</v>
      </c>
      <c r="B223" s="11" t="s">
        <v>344</v>
      </c>
      <c r="C223" s="12" t="s">
        <v>46</v>
      </c>
      <c r="D223" s="13">
        <v>3.56</v>
      </c>
      <c r="E223" s="13">
        <v>84.97</v>
      </c>
      <c r="F223" s="13">
        <v>105.04</v>
      </c>
      <c r="G223" s="13">
        <v>373.94240000000002</v>
      </c>
      <c r="H223" s="13">
        <v>0</v>
      </c>
      <c r="I223" s="13">
        <v>0</v>
      </c>
      <c r="J223" s="13">
        <v>0</v>
      </c>
      <c r="K223" s="13">
        <v>0</v>
      </c>
      <c r="L223" s="13">
        <v>0</v>
      </c>
      <c r="M223" s="95">
        <v>0</v>
      </c>
    </row>
    <row r="224" spans="1:13" ht="61.5" hidden="1" customHeight="1" x14ac:dyDescent="0.2">
      <c r="A224" s="94" t="s">
        <v>345</v>
      </c>
      <c r="B224" s="11" t="s">
        <v>346</v>
      </c>
      <c r="C224" s="12" t="s">
        <v>46</v>
      </c>
      <c r="D224" s="13">
        <v>6.42</v>
      </c>
      <c r="E224" s="13">
        <v>53.02</v>
      </c>
      <c r="F224" s="13">
        <v>65.540000000000006</v>
      </c>
      <c r="G224" s="13">
        <v>420.76680000000005</v>
      </c>
      <c r="H224" s="13">
        <v>0</v>
      </c>
      <c r="I224" s="13">
        <v>0</v>
      </c>
      <c r="J224" s="13">
        <v>0</v>
      </c>
      <c r="K224" s="13">
        <v>0</v>
      </c>
      <c r="L224" s="13">
        <v>0</v>
      </c>
      <c r="M224" s="95">
        <v>0</v>
      </c>
    </row>
    <row r="225" spans="1:13" ht="61.5" customHeight="1" x14ac:dyDescent="0.2">
      <c r="A225" s="94" t="s">
        <v>347</v>
      </c>
      <c r="B225" s="11" t="s">
        <v>348</v>
      </c>
      <c r="C225" s="12" t="s">
        <v>46</v>
      </c>
      <c r="D225" s="13">
        <v>398.23</v>
      </c>
      <c r="E225" s="13">
        <v>54.41</v>
      </c>
      <c r="F225" s="13">
        <v>67.260000000000005</v>
      </c>
      <c r="G225" s="13">
        <v>26784.949800000002</v>
      </c>
      <c r="H225" s="13">
        <v>398.23</v>
      </c>
      <c r="I225" s="13">
        <v>0</v>
      </c>
      <c r="J225" s="13">
        <v>398.23</v>
      </c>
      <c r="K225" s="13">
        <v>26784.949800000002</v>
      </c>
      <c r="L225" s="13">
        <v>0</v>
      </c>
      <c r="M225" s="95">
        <v>26784.949800000002</v>
      </c>
    </row>
    <row r="226" spans="1:13" ht="61.5" hidden="1" customHeight="1" x14ac:dyDescent="0.2">
      <c r="A226" s="94" t="s">
        <v>349</v>
      </c>
      <c r="B226" s="11" t="s">
        <v>350</v>
      </c>
      <c r="C226" s="12" t="s">
        <v>46</v>
      </c>
      <c r="D226" s="13">
        <v>113.28</v>
      </c>
      <c r="E226" s="13">
        <v>47.82</v>
      </c>
      <c r="F226" s="13">
        <v>59.11</v>
      </c>
      <c r="G226" s="13">
        <v>6695.9808000000003</v>
      </c>
      <c r="H226" s="13">
        <v>0</v>
      </c>
      <c r="I226" s="13">
        <v>0</v>
      </c>
      <c r="J226" s="13">
        <v>0</v>
      </c>
      <c r="K226" s="13">
        <v>0</v>
      </c>
      <c r="L226" s="13">
        <v>0</v>
      </c>
      <c r="M226" s="95">
        <v>0</v>
      </c>
    </row>
    <row r="227" spans="1:13" ht="24.75" hidden="1" customHeight="1" x14ac:dyDescent="0.2">
      <c r="A227" s="94" t="s">
        <v>351</v>
      </c>
      <c r="B227" s="11" t="s">
        <v>352</v>
      </c>
      <c r="C227" s="12" t="s">
        <v>28</v>
      </c>
      <c r="D227" s="13">
        <v>2</v>
      </c>
      <c r="E227" s="13">
        <v>823.04</v>
      </c>
      <c r="F227" s="13">
        <v>1017.52</v>
      </c>
      <c r="G227" s="13">
        <v>2035.04</v>
      </c>
      <c r="H227" s="13">
        <v>0</v>
      </c>
      <c r="I227" s="13">
        <v>0</v>
      </c>
      <c r="J227" s="13">
        <v>0</v>
      </c>
      <c r="K227" s="13">
        <v>0</v>
      </c>
      <c r="L227" s="13">
        <v>0</v>
      </c>
      <c r="M227" s="95">
        <v>0</v>
      </c>
    </row>
    <row r="228" spans="1:13" ht="40.5" customHeight="1" x14ac:dyDescent="0.2">
      <c r="A228" s="94" t="s">
        <v>353</v>
      </c>
      <c r="B228" s="11" t="s">
        <v>354</v>
      </c>
      <c r="C228" s="12" t="s">
        <v>28</v>
      </c>
      <c r="D228" s="13">
        <v>5</v>
      </c>
      <c r="E228" s="13">
        <v>469.57</v>
      </c>
      <c r="F228" s="13">
        <v>580.52</v>
      </c>
      <c r="G228" s="13">
        <v>2902.6</v>
      </c>
      <c r="H228" s="13">
        <v>0</v>
      </c>
      <c r="I228" s="13">
        <v>5</v>
      </c>
      <c r="J228" s="13">
        <v>5</v>
      </c>
      <c r="K228" s="13">
        <v>0</v>
      </c>
      <c r="L228" s="13">
        <v>2902.6</v>
      </c>
      <c r="M228" s="95">
        <v>2902.6</v>
      </c>
    </row>
    <row r="229" spans="1:13" ht="39" hidden="1" customHeight="1" x14ac:dyDescent="0.2">
      <c r="A229" s="94" t="s">
        <v>355</v>
      </c>
      <c r="B229" s="11" t="s">
        <v>356</v>
      </c>
      <c r="C229" s="12" t="s">
        <v>28</v>
      </c>
      <c r="D229" s="13">
        <v>2</v>
      </c>
      <c r="E229" s="13">
        <v>686.17</v>
      </c>
      <c r="F229" s="13">
        <v>848.31</v>
      </c>
      <c r="G229" s="13">
        <v>1696.62</v>
      </c>
      <c r="H229" s="13">
        <v>0</v>
      </c>
      <c r="I229" s="13">
        <v>0</v>
      </c>
      <c r="J229" s="13">
        <v>0</v>
      </c>
      <c r="K229" s="13">
        <v>0</v>
      </c>
      <c r="L229" s="13">
        <v>0</v>
      </c>
      <c r="M229" s="95">
        <v>0</v>
      </c>
    </row>
    <row r="230" spans="1:13" ht="43.5" hidden="1" customHeight="1" x14ac:dyDescent="0.2">
      <c r="A230" s="94" t="s">
        <v>357</v>
      </c>
      <c r="B230" s="11" t="s">
        <v>358</v>
      </c>
      <c r="C230" s="12" t="s">
        <v>28</v>
      </c>
      <c r="D230" s="13">
        <v>2</v>
      </c>
      <c r="E230" s="13">
        <v>40.21</v>
      </c>
      <c r="F230" s="13">
        <v>49.71</v>
      </c>
      <c r="G230" s="13">
        <v>99.42</v>
      </c>
      <c r="H230" s="13">
        <v>0</v>
      </c>
      <c r="I230" s="13">
        <v>0</v>
      </c>
      <c r="J230" s="13">
        <v>0</v>
      </c>
      <c r="K230" s="13">
        <v>0</v>
      </c>
      <c r="L230" s="13">
        <v>0</v>
      </c>
      <c r="M230" s="95">
        <v>0</v>
      </c>
    </row>
    <row r="231" spans="1:13" ht="36" hidden="1" customHeight="1" x14ac:dyDescent="0.2">
      <c r="A231" s="94" t="s">
        <v>359</v>
      </c>
      <c r="B231" s="11" t="s">
        <v>360</v>
      </c>
      <c r="C231" s="12" t="s">
        <v>28</v>
      </c>
      <c r="D231" s="13">
        <v>16</v>
      </c>
      <c r="E231" s="13">
        <v>85.92</v>
      </c>
      <c r="F231" s="13">
        <v>106.22</v>
      </c>
      <c r="G231" s="13">
        <v>1699.52</v>
      </c>
      <c r="H231" s="13">
        <v>0</v>
      </c>
      <c r="I231" s="13">
        <v>0</v>
      </c>
      <c r="J231" s="13">
        <v>0</v>
      </c>
      <c r="K231" s="13">
        <v>0</v>
      </c>
      <c r="L231" s="13">
        <v>0</v>
      </c>
      <c r="M231" s="95">
        <v>0</v>
      </c>
    </row>
    <row r="232" spans="1:13" ht="41.25" hidden="1" customHeight="1" x14ac:dyDescent="0.2">
      <c r="A232" s="94" t="s">
        <v>361</v>
      </c>
      <c r="B232" s="11" t="s">
        <v>362</v>
      </c>
      <c r="C232" s="12" t="s">
        <v>28</v>
      </c>
      <c r="D232" s="13">
        <v>2</v>
      </c>
      <c r="E232" s="13">
        <v>2116.0211249999998</v>
      </c>
      <c r="F232" s="13">
        <v>2616.0369168374996</v>
      </c>
      <c r="G232" s="13">
        <v>5232.0738336749992</v>
      </c>
      <c r="H232" s="13">
        <v>0</v>
      </c>
      <c r="I232" s="13">
        <v>0</v>
      </c>
      <c r="J232" s="13">
        <v>0</v>
      </c>
      <c r="K232" s="13">
        <v>0</v>
      </c>
      <c r="L232" s="13">
        <v>0</v>
      </c>
      <c r="M232" s="95">
        <v>0</v>
      </c>
    </row>
    <row r="233" spans="1:13" ht="24.75" hidden="1" customHeight="1" x14ac:dyDescent="0.2">
      <c r="A233" s="94" t="s">
        <v>363</v>
      </c>
      <c r="B233" s="11" t="s">
        <v>364</v>
      </c>
      <c r="C233" s="12" t="s">
        <v>28</v>
      </c>
      <c r="D233" s="13">
        <v>5</v>
      </c>
      <c r="E233" s="13">
        <v>10.09</v>
      </c>
      <c r="F233" s="13">
        <v>12.47</v>
      </c>
      <c r="G233" s="13">
        <v>62.35</v>
      </c>
      <c r="H233" s="13">
        <v>0</v>
      </c>
      <c r="I233" s="13">
        <v>0</v>
      </c>
      <c r="J233" s="13">
        <v>0</v>
      </c>
      <c r="K233" s="13">
        <v>0</v>
      </c>
      <c r="L233" s="13">
        <v>0</v>
      </c>
      <c r="M233" s="95">
        <v>0</v>
      </c>
    </row>
    <row r="234" spans="1:13" ht="24.75" hidden="1" customHeight="1" x14ac:dyDescent="0.2">
      <c r="A234" s="94" t="s">
        <v>365</v>
      </c>
      <c r="B234" s="11" t="s">
        <v>366</v>
      </c>
      <c r="C234" s="12" t="s">
        <v>28</v>
      </c>
      <c r="D234" s="13">
        <v>12</v>
      </c>
      <c r="E234" s="13">
        <v>88.79</v>
      </c>
      <c r="F234" s="13">
        <v>109.77</v>
      </c>
      <c r="G234" s="13">
        <v>1317.24</v>
      </c>
      <c r="H234" s="13">
        <v>0</v>
      </c>
      <c r="I234" s="13">
        <v>0</v>
      </c>
      <c r="J234" s="13">
        <v>0</v>
      </c>
      <c r="K234" s="13">
        <v>0</v>
      </c>
      <c r="L234" s="13">
        <v>0</v>
      </c>
      <c r="M234" s="95">
        <v>0</v>
      </c>
    </row>
    <row r="235" spans="1:13" ht="24.75" hidden="1" customHeight="1" x14ac:dyDescent="0.2">
      <c r="A235" s="94" t="s">
        <v>367</v>
      </c>
      <c r="B235" s="11" t="s">
        <v>368</v>
      </c>
      <c r="C235" s="12" t="s">
        <v>28</v>
      </c>
      <c r="D235" s="13">
        <v>2</v>
      </c>
      <c r="E235" s="13">
        <v>129.68</v>
      </c>
      <c r="F235" s="13">
        <v>160.32</v>
      </c>
      <c r="G235" s="13">
        <v>320.64</v>
      </c>
      <c r="H235" s="13">
        <v>0</v>
      </c>
      <c r="I235" s="13">
        <v>0</v>
      </c>
      <c r="J235" s="13">
        <v>0</v>
      </c>
      <c r="K235" s="13">
        <v>0</v>
      </c>
      <c r="L235" s="13">
        <v>0</v>
      </c>
      <c r="M235" s="95">
        <v>0</v>
      </c>
    </row>
    <row r="236" spans="1:13" ht="24.75" hidden="1" customHeight="1" x14ac:dyDescent="0.2">
      <c r="A236" s="94" t="s">
        <v>369</v>
      </c>
      <c r="B236" s="11" t="s">
        <v>370</v>
      </c>
      <c r="C236" s="12" t="s">
        <v>28</v>
      </c>
      <c r="D236" s="13">
        <v>1</v>
      </c>
      <c r="E236" s="13">
        <v>6318.4359999999988</v>
      </c>
      <c r="F236" s="13">
        <v>7811.4824267999984</v>
      </c>
      <c r="G236" s="13">
        <v>7811.4824267999984</v>
      </c>
      <c r="H236" s="13">
        <v>0</v>
      </c>
      <c r="I236" s="13">
        <v>0</v>
      </c>
      <c r="J236" s="13">
        <v>0</v>
      </c>
      <c r="K236" s="13">
        <v>0</v>
      </c>
      <c r="L236" s="13">
        <v>0</v>
      </c>
      <c r="M236" s="95">
        <v>0</v>
      </c>
    </row>
    <row r="237" spans="1:13" ht="43.5" customHeight="1" x14ac:dyDescent="0.2">
      <c r="A237" s="98" t="s">
        <v>1256</v>
      </c>
      <c r="B237" s="51" t="s">
        <v>1257</v>
      </c>
      <c r="C237" s="52" t="s">
        <v>31</v>
      </c>
      <c r="D237" s="13">
        <v>55.04</v>
      </c>
      <c r="E237" s="13"/>
      <c r="F237" s="13">
        <v>509.87</v>
      </c>
      <c r="G237" s="13">
        <v>28063.2448</v>
      </c>
      <c r="H237" s="13">
        <v>55.04</v>
      </c>
      <c r="I237" s="13">
        <v>0</v>
      </c>
      <c r="J237" s="13">
        <v>55.04</v>
      </c>
      <c r="K237" s="13">
        <v>28063.2448</v>
      </c>
      <c r="L237" s="13">
        <v>0</v>
      </c>
      <c r="M237" s="95">
        <v>28063.2448</v>
      </c>
    </row>
    <row r="238" spans="1:13" ht="24.75" customHeight="1" x14ac:dyDescent="0.2">
      <c r="A238" s="96" t="s">
        <v>371</v>
      </c>
      <c r="B238" s="15" t="s">
        <v>372</v>
      </c>
      <c r="C238" s="15"/>
      <c r="D238" s="19"/>
      <c r="E238" s="18"/>
      <c r="F238" s="18"/>
      <c r="G238" s="19">
        <v>91302.131991399991</v>
      </c>
      <c r="H238" s="19"/>
      <c r="I238" s="18"/>
      <c r="J238" s="19"/>
      <c r="K238" s="19">
        <v>67742.034853599995</v>
      </c>
      <c r="L238" s="19">
        <v>3222.6856000000002</v>
      </c>
      <c r="M238" s="97">
        <v>70964.720453599992</v>
      </c>
    </row>
    <row r="239" spans="1:13" ht="56.25" customHeight="1" x14ac:dyDescent="0.2">
      <c r="A239" s="94" t="s">
        <v>373</v>
      </c>
      <c r="B239" s="11" t="s">
        <v>374</v>
      </c>
      <c r="C239" s="12" t="s">
        <v>28</v>
      </c>
      <c r="D239" s="13">
        <v>1</v>
      </c>
      <c r="E239" s="13">
        <v>132.38999999999999</v>
      </c>
      <c r="F239" s="13">
        <v>163.66999999999999</v>
      </c>
      <c r="G239" s="13">
        <v>163.66999999999999</v>
      </c>
      <c r="H239" s="13">
        <v>0</v>
      </c>
      <c r="I239" s="13">
        <v>1</v>
      </c>
      <c r="J239" s="13">
        <v>1</v>
      </c>
      <c r="K239" s="13">
        <v>0</v>
      </c>
      <c r="L239" s="13">
        <v>163.66999999999999</v>
      </c>
      <c r="M239" s="95">
        <v>163.66999999999999</v>
      </c>
    </row>
    <row r="240" spans="1:13" ht="42" customHeight="1" x14ac:dyDescent="0.2">
      <c r="A240" s="94" t="s">
        <v>375</v>
      </c>
      <c r="B240" s="11" t="s">
        <v>376</v>
      </c>
      <c r="C240" s="12" t="s">
        <v>28</v>
      </c>
      <c r="D240" s="13">
        <v>253</v>
      </c>
      <c r="E240" s="13">
        <v>121.54</v>
      </c>
      <c r="F240" s="13">
        <v>150.25</v>
      </c>
      <c r="G240" s="13">
        <v>38013.25</v>
      </c>
      <c r="H240" s="13">
        <v>253</v>
      </c>
      <c r="I240" s="13">
        <v>0</v>
      </c>
      <c r="J240" s="13">
        <v>253</v>
      </c>
      <c r="K240" s="13">
        <v>38013.25</v>
      </c>
      <c r="L240" s="13">
        <v>0</v>
      </c>
      <c r="M240" s="95">
        <v>38013.25</v>
      </c>
    </row>
    <row r="241" spans="1:13" ht="63.75" x14ac:dyDescent="0.2">
      <c r="A241" s="94" t="s">
        <v>377</v>
      </c>
      <c r="B241" s="11" t="s">
        <v>340</v>
      </c>
      <c r="C241" s="12" t="s">
        <v>46</v>
      </c>
      <c r="D241" s="13">
        <v>66.720190000000002</v>
      </c>
      <c r="E241" s="13">
        <v>28.46</v>
      </c>
      <c r="F241" s="13">
        <v>35.18</v>
      </c>
      <c r="G241" s="13">
        <v>2347.2162842000002</v>
      </c>
      <c r="H241" s="13">
        <v>0</v>
      </c>
      <c r="I241" s="13">
        <v>66.72</v>
      </c>
      <c r="J241" s="13">
        <v>66.72</v>
      </c>
      <c r="K241" s="13">
        <v>0</v>
      </c>
      <c r="L241" s="13">
        <v>2347.2096000000001</v>
      </c>
      <c r="M241" s="95">
        <v>2347.2096000000001</v>
      </c>
    </row>
    <row r="242" spans="1:13" ht="47.25" customHeight="1" x14ac:dyDescent="0.2">
      <c r="A242" s="94" t="s">
        <v>378</v>
      </c>
      <c r="B242" s="11" t="s">
        <v>336</v>
      </c>
      <c r="C242" s="12" t="s">
        <v>46</v>
      </c>
      <c r="D242" s="13">
        <v>9.4499999999999993</v>
      </c>
      <c r="E242" s="13">
        <v>40.380000000000003</v>
      </c>
      <c r="F242" s="13">
        <v>49.92</v>
      </c>
      <c r="G242" s="13">
        <v>471.74399999999997</v>
      </c>
      <c r="H242" s="13">
        <v>0</v>
      </c>
      <c r="I242" s="13">
        <v>9.4499999999999993</v>
      </c>
      <c r="J242" s="13">
        <v>9.4499999999999993</v>
      </c>
      <c r="K242" s="13">
        <v>0</v>
      </c>
      <c r="L242" s="13">
        <v>471.74399999999997</v>
      </c>
      <c r="M242" s="95">
        <v>471.74399999999997</v>
      </c>
    </row>
    <row r="243" spans="1:13" ht="40.5" customHeight="1" x14ac:dyDescent="0.2">
      <c r="A243" s="94" t="s">
        <v>379</v>
      </c>
      <c r="B243" s="11" t="s">
        <v>338</v>
      </c>
      <c r="C243" s="12" t="s">
        <v>46</v>
      </c>
      <c r="D243" s="13">
        <v>5.8</v>
      </c>
      <c r="E243" s="13">
        <v>33.479999999999997</v>
      </c>
      <c r="F243" s="13">
        <v>41.39</v>
      </c>
      <c r="G243" s="13">
        <v>240.06199999999998</v>
      </c>
      <c r="H243" s="13">
        <v>0</v>
      </c>
      <c r="I243" s="13">
        <v>5.8</v>
      </c>
      <c r="J243" s="13">
        <v>5.8</v>
      </c>
      <c r="K243" s="13">
        <v>0</v>
      </c>
      <c r="L243" s="13">
        <v>240.06199999999998</v>
      </c>
      <c r="M243" s="95">
        <v>240.06199999999998</v>
      </c>
    </row>
    <row r="244" spans="1:13" ht="24.75" customHeight="1" x14ac:dyDescent="0.2">
      <c r="A244" s="94" t="s">
        <v>380</v>
      </c>
      <c r="B244" s="11" t="s">
        <v>370</v>
      </c>
      <c r="C244" s="12" t="s">
        <v>28</v>
      </c>
      <c r="D244" s="13">
        <v>4</v>
      </c>
      <c r="E244" s="13">
        <v>6318.4359999999988</v>
      </c>
      <c r="F244" s="13">
        <v>7811.4824267999984</v>
      </c>
      <c r="G244" s="13">
        <v>31245.929707199994</v>
      </c>
      <c r="H244" s="13">
        <v>2</v>
      </c>
      <c r="I244" s="13">
        <v>0</v>
      </c>
      <c r="J244" s="13">
        <v>2</v>
      </c>
      <c r="K244" s="13">
        <v>15622.964853599997</v>
      </c>
      <c r="L244" s="13">
        <v>0</v>
      </c>
      <c r="M244" s="95">
        <v>15622.964853599997</v>
      </c>
    </row>
    <row r="245" spans="1:13" ht="24.75" customHeight="1" x14ac:dyDescent="0.2">
      <c r="A245" s="94" t="s">
        <v>381</v>
      </c>
      <c r="B245" s="11" t="s">
        <v>382</v>
      </c>
      <c r="C245" s="12" t="s">
        <v>28</v>
      </c>
      <c r="D245" s="13">
        <v>7</v>
      </c>
      <c r="E245" s="13">
        <v>1271.1199999999999</v>
      </c>
      <c r="F245" s="13">
        <v>1571.48</v>
      </c>
      <c r="G245" s="13">
        <v>11000.36</v>
      </c>
      <c r="H245" s="13">
        <v>4</v>
      </c>
      <c r="I245" s="13">
        <v>0</v>
      </c>
      <c r="J245" s="13">
        <v>4</v>
      </c>
      <c r="K245" s="13">
        <v>6285.92</v>
      </c>
      <c r="L245" s="13">
        <v>0</v>
      </c>
      <c r="M245" s="95">
        <v>6285.92</v>
      </c>
    </row>
    <row r="246" spans="1:13" ht="45.75" customHeight="1" x14ac:dyDescent="0.2">
      <c r="A246" s="98" t="s">
        <v>1258</v>
      </c>
      <c r="B246" s="51" t="s">
        <v>1259</v>
      </c>
      <c r="C246" s="52" t="s">
        <v>28</v>
      </c>
      <c r="D246" s="13">
        <v>4</v>
      </c>
      <c r="E246" s="13"/>
      <c r="F246" s="13">
        <v>110</v>
      </c>
      <c r="G246" s="13">
        <v>440</v>
      </c>
      <c r="H246" s="13">
        <v>4</v>
      </c>
      <c r="I246" s="13">
        <v>0</v>
      </c>
      <c r="J246" s="13">
        <v>4</v>
      </c>
      <c r="K246" s="13">
        <v>440</v>
      </c>
      <c r="L246" s="13">
        <v>0</v>
      </c>
      <c r="M246" s="95">
        <v>440</v>
      </c>
    </row>
    <row r="247" spans="1:13" ht="46.5" customHeight="1" x14ac:dyDescent="0.2">
      <c r="A247" s="98" t="s">
        <v>1260</v>
      </c>
      <c r="B247" s="51" t="s">
        <v>322</v>
      </c>
      <c r="C247" s="52" t="s">
        <v>28</v>
      </c>
      <c r="D247" s="13">
        <v>55</v>
      </c>
      <c r="E247" s="13"/>
      <c r="F247" s="13">
        <v>134.18</v>
      </c>
      <c r="G247" s="13">
        <v>7379.9000000000005</v>
      </c>
      <c r="H247" s="13">
        <v>55</v>
      </c>
      <c r="I247" s="13">
        <v>0</v>
      </c>
      <c r="J247" s="13">
        <v>55</v>
      </c>
      <c r="K247" s="13">
        <v>7379.9000000000005</v>
      </c>
      <c r="L247" s="13">
        <v>0</v>
      </c>
      <c r="M247" s="95">
        <v>7379.9000000000005</v>
      </c>
    </row>
    <row r="248" spans="1:13" ht="24.75" customHeight="1" x14ac:dyDescent="0.2">
      <c r="A248" s="96" t="s">
        <v>383</v>
      </c>
      <c r="B248" s="15" t="s">
        <v>384</v>
      </c>
      <c r="C248" s="15"/>
      <c r="D248" s="19"/>
      <c r="E248" s="18"/>
      <c r="F248" s="18"/>
      <c r="G248" s="19">
        <v>119298.68331222695</v>
      </c>
      <c r="H248" s="19"/>
      <c r="I248" s="18"/>
      <c r="J248" s="19"/>
      <c r="K248" s="19">
        <v>95158.77</v>
      </c>
      <c r="L248" s="19">
        <v>0</v>
      </c>
      <c r="M248" s="97">
        <v>95158.77</v>
      </c>
    </row>
    <row r="249" spans="1:13" ht="58.5" hidden="1" customHeight="1" x14ac:dyDescent="0.2">
      <c r="A249" s="94" t="s">
        <v>385</v>
      </c>
      <c r="B249" s="11" t="s">
        <v>386</v>
      </c>
      <c r="C249" s="12" t="s">
        <v>28</v>
      </c>
      <c r="D249" s="13">
        <v>1</v>
      </c>
      <c r="E249" s="13">
        <v>489.35</v>
      </c>
      <c r="F249" s="13">
        <v>604.98</v>
      </c>
      <c r="G249" s="13">
        <v>604.98</v>
      </c>
      <c r="H249" s="13">
        <v>0</v>
      </c>
      <c r="I249" s="13">
        <v>0</v>
      </c>
      <c r="J249" s="13">
        <v>0</v>
      </c>
      <c r="K249" s="13">
        <v>0</v>
      </c>
      <c r="L249" s="13">
        <v>0</v>
      </c>
      <c r="M249" s="95">
        <v>0</v>
      </c>
    </row>
    <row r="250" spans="1:13" ht="45" customHeight="1" x14ac:dyDescent="0.2">
      <c r="A250" s="94" t="s">
        <v>387</v>
      </c>
      <c r="B250" s="11" t="s">
        <v>388</v>
      </c>
      <c r="C250" s="12" t="s">
        <v>28</v>
      </c>
      <c r="D250" s="13">
        <v>100</v>
      </c>
      <c r="E250" s="13">
        <v>28.43</v>
      </c>
      <c r="F250" s="13">
        <v>35.14</v>
      </c>
      <c r="G250" s="13">
        <v>3514</v>
      </c>
      <c r="H250" s="13">
        <v>100</v>
      </c>
      <c r="I250" s="13">
        <v>0</v>
      </c>
      <c r="J250" s="13">
        <v>100</v>
      </c>
      <c r="K250" s="13">
        <v>3514</v>
      </c>
      <c r="L250" s="13">
        <v>0</v>
      </c>
      <c r="M250" s="95">
        <v>3514</v>
      </c>
    </row>
    <row r="251" spans="1:13" ht="67.5" customHeight="1" x14ac:dyDescent="0.2">
      <c r="A251" s="94" t="s">
        <v>389</v>
      </c>
      <c r="B251" s="11" t="s">
        <v>390</v>
      </c>
      <c r="C251" s="12" t="s">
        <v>28</v>
      </c>
      <c r="D251" s="13">
        <v>62</v>
      </c>
      <c r="E251" s="13">
        <v>285.37</v>
      </c>
      <c r="F251" s="13">
        <v>352.8</v>
      </c>
      <c r="G251" s="13">
        <v>21873.600000000002</v>
      </c>
      <c r="H251" s="13">
        <v>62</v>
      </c>
      <c r="I251" s="13">
        <v>0</v>
      </c>
      <c r="J251" s="13">
        <v>62</v>
      </c>
      <c r="K251" s="13">
        <v>21873.600000000002</v>
      </c>
      <c r="L251" s="13">
        <v>0</v>
      </c>
      <c r="M251" s="95">
        <v>21873.600000000002</v>
      </c>
    </row>
    <row r="252" spans="1:13" ht="44.25" hidden="1" customHeight="1" x14ac:dyDescent="0.2">
      <c r="A252" s="94" t="s">
        <v>391</v>
      </c>
      <c r="B252" s="11" t="s">
        <v>392</v>
      </c>
      <c r="C252" s="12" t="s">
        <v>28</v>
      </c>
      <c r="D252" s="13">
        <v>39</v>
      </c>
      <c r="E252" s="13">
        <v>87.55</v>
      </c>
      <c r="F252" s="13">
        <v>108.23</v>
      </c>
      <c r="G252" s="13">
        <v>4220.97</v>
      </c>
      <c r="H252" s="13">
        <v>0</v>
      </c>
      <c r="I252" s="13">
        <v>0</v>
      </c>
      <c r="J252" s="13">
        <v>0</v>
      </c>
      <c r="K252" s="13">
        <v>0</v>
      </c>
      <c r="L252" s="13">
        <v>0</v>
      </c>
      <c r="M252" s="95">
        <v>0</v>
      </c>
    </row>
    <row r="253" spans="1:13" ht="36" hidden="1" customHeight="1" x14ac:dyDescent="0.2">
      <c r="A253" s="94" t="s">
        <v>393</v>
      </c>
      <c r="B253" s="11" t="s">
        <v>394</v>
      </c>
      <c r="C253" s="12" t="s">
        <v>28</v>
      </c>
      <c r="D253" s="13">
        <v>4</v>
      </c>
      <c r="E253" s="13">
        <v>342.53</v>
      </c>
      <c r="F253" s="13">
        <v>423.46</v>
      </c>
      <c r="G253" s="13">
        <v>1693.84</v>
      </c>
      <c r="H253" s="13">
        <v>0</v>
      </c>
      <c r="I253" s="13">
        <v>0</v>
      </c>
      <c r="J253" s="13">
        <v>0</v>
      </c>
      <c r="K253" s="13">
        <v>0</v>
      </c>
      <c r="L253" s="13">
        <v>0</v>
      </c>
      <c r="M253" s="95">
        <v>0</v>
      </c>
    </row>
    <row r="254" spans="1:13" ht="55.5" hidden="1" customHeight="1" x14ac:dyDescent="0.2">
      <c r="A254" s="94" t="s">
        <v>395</v>
      </c>
      <c r="B254" s="11" t="s">
        <v>396</v>
      </c>
      <c r="C254" s="12" t="s">
        <v>28</v>
      </c>
      <c r="D254" s="13">
        <v>3</v>
      </c>
      <c r="E254" s="13">
        <v>2288.2885255000006</v>
      </c>
      <c r="F254" s="13">
        <v>2829.0111040756506</v>
      </c>
      <c r="G254" s="13">
        <v>8487.0333122269512</v>
      </c>
      <c r="H254" s="13">
        <v>0</v>
      </c>
      <c r="I254" s="13">
        <v>0</v>
      </c>
      <c r="J254" s="13">
        <v>0</v>
      </c>
      <c r="K254" s="13">
        <v>0</v>
      </c>
      <c r="L254" s="13">
        <v>0</v>
      </c>
      <c r="M254" s="95">
        <v>0</v>
      </c>
    </row>
    <row r="255" spans="1:13" ht="54.75" hidden="1" customHeight="1" x14ac:dyDescent="0.2">
      <c r="A255" s="94" t="s">
        <v>397</v>
      </c>
      <c r="B255" s="11" t="s">
        <v>398</v>
      </c>
      <c r="C255" s="12" t="s">
        <v>28</v>
      </c>
      <c r="D255" s="13">
        <v>2</v>
      </c>
      <c r="E255" s="13">
        <v>1871.68</v>
      </c>
      <c r="F255" s="13">
        <v>2313.9499999999998</v>
      </c>
      <c r="G255" s="13">
        <v>4627.8999999999996</v>
      </c>
      <c r="H255" s="13">
        <v>0</v>
      </c>
      <c r="I255" s="13">
        <v>0</v>
      </c>
      <c r="J255" s="13">
        <v>0</v>
      </c>
      <c r="K255" s="13">
        <v>0</v>
      </c>
      <c r="L255" s="13">
        <v>0</v>
      </c>
      <c r="M255" s="95">
        <v>0</v>
      </c>
    </row>
    <row r="256" spans="1:13" ht="48" hidden="1" customHeight="1" x14ac:dyDescent="0.2">
      <c r="A256" s="94" t="s">
        <v>399</v>
      </c>
      <c r="B256" s="11" t="s">
        <v>400</v>
      </c>
      <c r="C256" s="12" t="s">
        <v>28</v>
      </c>
      <c r="D256" s="13">
        <v>6</v>
      </c>
      <c r="E256" s="13">
        <v>492.99</v>
      </c>
      <c r="F256" s="13">
        <v>609.48</v>
      </c>
      <c r="G256" s="13">
        <v>3656.88</v>
      </c>
      <c r="H256" s="13">
        <v>0</v>
      </c>
      <c r="I256" s="13">
        <v>0</v>
      </c>
      <c r="J256" s="13">
        <v>0</v>
      </c>
      <c r="K256" s="13">
        <v>0</v>
      </c>
      <c r="L256" s="13">
        <v>0</v>
      </c>
      <c r="M256" s="95">
        <v>0</v>
      </c>
    </row>
    <row r="257" spans="1:13" ht="42" hidden="1" customHeight="1" x14ac:dyDescent="0.2">
      <c r="A257" s="94" t="s">
        <v>401</v>
      </c>
      <c r="B257" s="11" t="s">
        <v>356</v>
      </c>
      <c r="C257" s="12" t="s">
        <v>28</v>
      </c>
      <c r="D257" s="13">
        <v>1</v>
      </c>
      <c r="E257" s="13">
        <v>686.17</v>
      </c>
      <c r="F257" s="13">
        <v>848.31</v>
      </c>
      <c r="G257" s="13">
        <v>848.31</v>
      </c>
      <c r="H257" s="13">
        <v>0</v>
      </c>
      <c r="I257" s="13">
        <v>0</v>
      </c>
      <c r="J257" s="13">
        <v>0</v>
      </c>
      <c r="K257" s="13">
        <v>0</v>
      </c>
      <c r="L257" s="13">
        <v>0</v>
      </c>
      <c r="M257" s="95">
        <v>0</v>
      </c>
    </row>
    <row r="258" spans="1:13" ht="50.25" customHeight="1" x14ac:dyDescent="0.2">
      <c r="A258" s="94" t="s">
        <v>402</v>
      </c>
      <c r="B258" s="11" t="s">
        <v>403</v>
      </c>
      <c r="C258" s="12" t="s">
        <v>28</v>
      </c>
      <c r="D258" s="13">
        <v>74</v>
      </c>
      <c r="E258" s="13">
        <v>15.85</v>
      </c>
      <c r="F258" s="13">
        <v>19.59</v>
      </c>
      <c r="G258" s="13">
        <v>1449.66</v>
      </c>
      <c r="H258" s="13">
        <v>74</v>
      </c>
      <c r="I258" s="13">
        <v>0</v>
      </c>
      <c r="J258" s="13">
        <v>74</v>
      </c>
      <c r="K258" s="13">
        <v>1449.66</v>
      </c>
      <c r="L258" s="13">
        <v>0</v>
      </c>
      <c r="M258" s="95">
        <v>1449.66</v>
      </c>
    </row>
    <row r="259" spans="1:13" ht="24.75" customHeight="1" x14ac:dyDescent="0.2">
      <c r="A259" s="94" t="s">
        <v>404</v>
      </c>
      <c r="B259" s="11" t="s">
        <v>405</v>
      </c>
      <c r="C259" s="12" t="s">
        <v>28</v>
      </c>
      <c r="D259" s="13">
        <v>140</v>
      </c>
      <c r="E259" s="13">
        <v>162.43</v>
      </c>
      <c r="F259" s="13">
        <v>200.81</v>
      </c>
      <c r="G259" s="13">
        <v>28113.4</v>
      </c>
      <c r="H259" s="13">
        <v>140</v>
      </c>
      <c r="I259" s="13">
        <v>0</v>
      </c>
      <c r="J259" s="13">
        <v>140</v>
      </c>
      <c r="K259" s="13">
        <v>28113.4</v>
      </c>
      <c r="L259" s="13">
        <v>0</v>
      </c>
      <c r="M259" s="95">
        <v>28113.4</v>
      </c>
    </row>
    <row r="260" spans="1:13" ht="24.75" customHeight="1" x14ac:dyDescent="0.2">
      <c r="A260" s="94" t="s">
        <v>406</v>
      </c>
      <c r="B260" s="11" t="s">
        <v>407</v>
      </c>
      <c r="C260" s="12" t="s">
        <v>28</v>
      </c>
      <c r="D260" s="13">
        <v>2</v>
      </c>
      <c r="E260" s="13">
        <v>449.43</v>
      </c>
      <c r="F260" s="13">
        <v>555.63</v>
      </c>
      <c r="G260" s="13">
        <v>1111.26</v>
      </c>
      <c r="H260" s="13">
        <v>2</v>
      </c>
      <c r="I260" s="13">
        <v>0</v>
      </c>
      <c r="J260" s="13">
        <v>2</v>
      </c>
      <c r="K260" s="13">
        <v>1111.26</v>
      </c>
      <c r="L260" s="13">
        <v>0</v>
      </c>
      <c r="M260" s="95">
        <v>1111.26</v>
      </c>
    </row>
    <row r="261" spans="1:13" ht="24.75" customHeight="1" x14ac:dyDescent="0.2">
      <c r="A261" s="94" t="s">
        <v>408</v>
      </c>
      <c r="B261" s="11" t="s">
        <v>409</v>
      </c>
      <c r="C261" s="12" t="s">
        <v>28</v>
      </c>
      <c r="D261" s="13">
        <v>62</v>
      </c>
      <c r="E261" s="13">
        <v>490.3</v>
      </c>
      <c r="F261" s="13">
        <v>606.15</v>
      </c>
      <c r="G261" s="13">
        <v>37581.299999999996</v>
      </c>
      <c r="H261" s="13">
        <v>62</v>
      </c>
      <c r="I261" s="13">
        <v>0</v>
      </c>
      <c r="J261" s="13">
        <v>62</v>
      </c>
      <c r="K261" s="13">
        <v>37581.299999999996</v>
      </c>
      <c r="L261" s="13">
        <v>0</v>
      </c>
      <c r="M261" s="95">
        <v>37581.299999999996</v>
      </c>
    </row>
    <row r="262" spans="1:13" ht="47.25" customHeight="1" x14ac:dyDescent="0.2">
      <c r="A262" s="98" t="s">
        <v>1261</v>
      </c>
      <c r="B262" s="51" t="s">
        <v>1262</v>
      </c>
      <c r="C262" s="52" t="s">
        <v>28</v>
      </c>
      <c r="D262" s="13">
        <v>85</v>
      </c>
      <c r="E262" s="13"/>
      <c r="F262" s="13">
        <v>17.829999999999998</v>
      </c>
      <c r="G262" s="13">
        <v>1515.55</v>
      </c>
      <c r="H262" s="13">
        <v>85</v>
      </c>
      <c r="I262" s="13">
        <v>0</v>
      </c>
      <c r="J262" s="13">
        <v>85</v>
      </c>
      <c r="K262" s="13">
        <v>1515.55</v>
      </c>
      <c r="L262" s="13">
        <v>0</v>
      </c>
      <c r="M262" s="95">
        <v>1515.55</v>
      </c>
    </row>
    <row r="263" spans="1:13" ht="24.75" hidden="1" customHeight="1" x14ac:dyDescent="0.2">
      <c r="A263" s="96" t="s">
        <v>410</v>
      </c>
      <c r="B263" s="15" t="s">
        <v>411</v>
      </c>
      <c r="C263" s="15"/>
      <c r="D263" s="19"/>
      <c r="E263" s="18"/>
      <c r="F263" s="18"/>
      <c r="G263" s="19">
        <v>8758.8118458799981</v>
      </c>
      <c r="H263" s="19"/>
      <c r="I263" s="18"/>
      <c r="J263" s="19"/>
      <c r="K263" s="19">
        <v>0</v>
      </c>
      <c r="L263" s="19">
        <v>0</v>
      </c>
      <c r="M263" s="97">
        <v>0</v>
      </c>
    </row>
    <row r="264" spans="1:13" ht="24.75" hidden="1" customHeight="1" x14ac:dyDescent="0.2">
      <c r="A264" s="94" t="s">
        <v>412</v>
      </c>
      <c r="B264" s="11" t="s">
        <v>413</v>
      </c>
      <c r="C264" s="12" t="s">
        <v>28</v>
      </c>
      <c r="D264" s="13">
        <v>2</v>
      </c>
      <c r="E264" s="13">
        <v>1180.7537999999997</v>
      </c>
      <c r="F264" s="13">
        <v>1459.7659229399997</v>
      </c>
      <c r="G264" s="13">
        <v>2919.5318458799993</v>
      </c>
      <c r="H264" s="13">
        <v>0</v>
      </c>
      <c r="I264" s="13">
        <v>0</v>
      </c>
      <c r="J264" s="13">
        <v>0</v>
      </c>
      <c r="K264" s="13">
        <v>0</v>
      </c>
      <c r="L264" s="13">
        <v>0</v>
      </c>
      <c r="M264" s="95">
        <v>0</v>
      </c>
    </row>
    <row r="265" spans="1:13" ht="24.75" hidden="1" customHeight="1" x14ac:dyDescent="0.2">
      <c r="A265" s="94" t="s">
        <v>414</v>
      </c>
      <c r="B265" s="11" t="s">
        <v>415</v>
      </c>
      <c r="C265" s="12" t="s">
        <v>28</v>
      </c>
      <c r="D265" s="13">
        <v>1</v>
      </c>
      <c r="E265" s="13">
        <v>73.94</v>
      </c>
      <c r="F265" s="13">
        <v>91.41</v>
      </c>
      <c r="G265" s="13">
        <v>91.41</v>
      </c>
      <c r="H265" s="13">
        <v>0</v>
      </c>
      <c r="I265" s="13">
        <v>0</v>
      </c>
      <c r="J265" s="13">
        <v>0</v>
      </c>
      <c r="K265" s="13">
        <v>0</v>
      </c>
      <c r="L265" s="13">
        <v>0</v>
      </c>
      <c r="M265" s="95">
        <v>0</v>
      </c>
    </row>
    <row r="266" spans="1:13" ht="24.75" hidden="1" customHeight="1" x14ac:dyDescent="0.2">
      <c r="A266" s="94" t="s">
        <v>416</v>
      </c>
      <c r="B266" s="11" t="s">
        <v>417</v>
      </c>
      <c r="C266" s="12" t="s">
        <v>28</v>
      </c>
      <c r="D266" s="13">
        <v>1</v>
      </c>
      <c r="E266" s="13">
        <v>2668.084625</v>
      </c>
      <c r="F266" s="13">
        <v>3329.62</v>
      </c>
      <c r="G266" s="13">
        <v>3329.62</v>
      </c>
      <c r="H266" s="13">
        <v>0</v>
      </c>
      <c r="I266" s="13">
        <v>0</v>
      </c>
      <c r="J266" s="13">
        <v>0</v>
      </c>
      <c r="K266" s="13">
        <v>0</v>
      </c>
      <c r="L266" s="13">
        <v>0</v>
      </c>
      <c r="M266" s="95">
        <v>0</v>
      </c>
    </row>
    <row r="267" spans="1:13" ht="24.75" hidden="1" customHeight="1" x14ac:dyDescent="0.2">
      <c r="A267" s="94" t="s">
        <v>418</v>
      </c>
      <c r="B267" s="11" t="s">
        <v>398</v>
      </c>
      <c r="C267" s="12" t="s">
        <v>28</v>
      </c>
      <c r="D267" s="13">
        <v>1</v>
      </c>
      <c r="E267" s="13">
        <v>1871.68</v>
      </c>
      <c r="F267" s="13">
        <v>2313.9499999999998</v>
      </c>
      <c r="G267" s="13">
        <v>2313.9499999999998</v>
      </c>
      <c r="H267" s="13">
        <v>0</v>
      </c>
      <c r="I267" s="13">
        <v>0</v>
      </c>
      <c r="J267" s="13">
        <v>0</v>
      </c>
      <c r="K267" s="13">
        <v>0</v>
      </c>
      <c r="L267" s="13">
        <v>0</v>
      </c>
      <c r="M267" s="95">
        <v>0</v>
      </c>
    </row>
    <row r="268" spans="1:13" ht="24.75" hidden="1" customHeight="1" x14ac:dyDescent="0.2">
      <c r="A268" s="94" t="s">
        <v>419</v>
      </c>
      <c r="B268" s="11" t="s">
        <v>420</v>
      </c>
      <c r="C268" s="12" t="s">
        <v>28</v>
      </c>
      <c r="D268" s="13">
        <v>1</v>
      </c>
      <c r="E268" s="13">
        <v>84.37</v>
      </c>
      <c r="F268" s="13">
        <v>104.3</v>
      </c>
      <c r="G268" s="13">
        <v>104.3</v>
      </c>
      <c r="H268" s="13">
        <v>0</v>
      </c>
      <c r="I268" s="13">
        <v>0</v>
      </c>
      <c r="J268" s="13">
        <v>0</v>
      </c>
      <c r="K268" s="13">
        <v>0</v>
      </c>
      <c r="L268" s="13">
        <v>0</v>
      </c>
      <c r="M268" s="95">
        <v>0</v>
      </c>
    </row>
    <row r="269" spans="1:13" ht="24.75" customHeight="1" x14ac:dyDescent="0.2">
      <c r="A269" s="96" t="s">
        <v>421</v>
      </c>
      <c r="B269" s="15" t="s">
        <v>422</v>
      </c>
      <c r="C269" s="15"/>
      <c r="D269" s="19"/>
      <c r="E269" s="18"/>
      <c r="F269" s="18"/>
      <c r="G269" s="19">
        <v>945896.30989498622</v>
      </c>
      <c r="H269" s="19"/>
      <c r="I269" s="18"/>
      <c r="J269" s="19"/>
      <c r="K269" s="19">
        <v>426056.83101197885</v>
      </c>
      <c r="L269" s="19">
        <v>191508.01883002868</v>
      </c>
      <c r="M269" s="97">
        <v>617564.84984200762</v>
      </c>
    </row>
    <row r="270" spans="1:13" ht="24.75" customHeight="1" x14ac:dyDescent="0.2">
      <c r="A270" s="96" t="s">
        <v>423</v>
      </c>
      <c r="B270" s="15" t="s">
        <v>424</v>
      </c>
      <c r="C270" s="15"/>
      <c r="D270" s="19"/>
      <c r="E270" s="18"/>
      <c r="F270" s="18"/>
      <c r="G270" s="19">
        <v>277382.35413757717</v>
      </c>
      <c r="H270" s="19"/>
      <c r="I270" s="18"/>
      <c r="J270" s="19"/>
      <c r="K270" s="19">
        <v>172298.54465730645</v>
      </c>
      <c r="L270" s="19">
        <v>43814.022495204146</v>
      </c>
      <c r="M270" s="97">
        <v>216112.5671525106</v>
      </c>
    </row>
    <row r="271" spans="1:13" ht="78" customHeight="1" x14ac:dyDescent="0.2">
      <c r="A271" s="94" t="s">
        <v>425</v>
      </c>
      <c r="B271" s="11" t="s">
        <v>426</v>
      </c>
      <c r="C271" s="12" t="s">
        <v>28</v>
      </c>
      <c r="D271" s="13">
        <v>889</v>
      </c>
      <c r="E271" s="13">
        <v>127.45674232729601</v>
      </c>
      <c r="F271" s="13">
        <v>157.57477053923606</v>
      </c>
      <c r="G271" s="13">
        <v>140083.97100938085</v>
      </c>
      <c r="H271" s="13">
        <v>621</v>
      </c>
      <c r="I271" s="13">
        <v>150</v>
      </c>
      <c r="J271" s="13">
        <v>771</v>
      </c>
      <c r="K271" s="13">
        <v>97853.932504865588</v>
      </c>
      <c r="L271" s="13">
        <v>23636.215580885408</v>
      </c>
      <c r="M271" s="95">
        <v>121490.148085751</v>
      </c>
    </row>
    <row r="272" spans="1:13" ht="71.25" hidden="1" customHeight="1" x14ac:dyDescent="0.2">
      <c r="A272" s="94" t="s">
        <v>427</v>
      </c>
      <c r="B272" s="11" t="s">
        <v>428</v>
      </c>
      <c r="C272" s="12" t="s">
        <v>28</v>
      </c>
      <c r="D272" s="13">
        <v>134</v>
      </c>
      <c r="E272" s="13">
        <v>141.61326981252799</v>
      </c>
      <c r="F272" s="13">
        <v>175.07648546922834</v>
      </c>
      <c r="G272" s="13">
        <v>23460.249052876599</v>
      </c>
      <c r="H272" s="13">
        <v>0</v>
      </c>
      <c r="I272" s="13">
        <v>0</v>
      </c>
      <c r="J272" s="13">
        <v>0</v>
      </c>
      <c r="K272" s="13">
        <v>0</v>
      </c>
      <c r="L272" s="13">
        <v>0</v>
      </c>
      <c r="M272" s="95">
        <v>0</v>
      </c>
    </row>
    <row r="273" spans="1:13" ht="56.25" customHeight="1" x14ac:dyDescent="0.2">
      <c r="A273" s="94" t="s">
        <v>429</v>
      </c>
      <c r="B273" s="11" t="s">
        <v>430</v>
      </c>
      <c r="C273" s="12" t="s">
        <v>28</v>
      </c>
      <c r="D273" s="13">
        <v>773</v>
      </c>
      <c r="E273" s="13">
        <v>108.80750041424001</v>
      </c>
      <c r="F273" s="13">
        <v>134.51871276212492</v>
      </c>
      <c r="G273" s="13">
        <v>103982.96496512256</v>
      </c>
      <c r="H273" s="13">
        <v>544</v>
      </c>
      <c r="I273" s="13">
        <v>150</v>
      </c>
      <c r="J273" s="13">
        <v>694</v>
      </c>
      <c r="K273" s="13">
        <v>73178.179742595952</v>
      </c>
      <c r="L273" s="13">
        <v>20177.806914318739</v>
      </c>
      <c r="M273" s="95">
        <v>93355.986656914698</v>
      </c>
    </row>
    <row r="274" spans="1:13" ht="72" hidden="1" customHeight="1" x14ac:dyDescent="0.2">
      <c r="A274" s="94" t="s">
        <v>431</v>
      </c>
      <c r="B274" s="11" t="s">
        <v>432</v>
      </c>
      <c r="C274" s="12" t="s">
        <v>28</v>
      </c>
      <c r="D274" s="13">
        <v>25</v>
      </c>
      <c r="E274" s="13">
        <v>277.88519616119999</v>
      </c>
      <c r="F274" s="13">
        <v>343.54946801409153</v>
      </c>
      <c r="G274" s="13">
        <v>8588.7367003522886</v>
      </c>
      <c r="H274" s="13">
        <v>0</v>
      </c>
      <c r="I274" s="13">
        <v>0</v>
      </c>
      <c r="J274" s="13">
        <v>0</v>
      </c>
      <c r="K274" s="13">
        <v>0</v>
      </c>
      <c r="L274" s="13">
        <v>0</v>
      </c>
      <c r="M274" s="95">
        <v>0</v>
      </c>
    </row>
    <row r="275" spans="1:13" ht="60.75" customHeight="1" x14ac:dyDescent="0.2">
      <c r="A275" s="94" t="s">
        <v>433</v>
      </c>
      <c r="B275" s="11" t="s">
        <v>434</v>
      </c>
      <c r="C275" s="12" t="s">
        <v>28</v>
      </c>
      <c r="D275" s="13">
        <v>4</v>
      </c>
      <c r="E275" s="13">
        <v>256.09326414399999</v>
      </c>
      <c r="F275" s="13">
        <v>316.60810246122719</v>
      </c>
      <c r="G275" s="13">
        <v>1266.4324098449088</v>
      </c>
      <c r="H275" s="13">
        <v>4</v>
      </c>
      <c r="I275" s="13">
        <v>0</v>
      </c>
      <c r="J275" s="13">
        <v>4</v>
      </c>
      <c r="K275" s="13">
        <v>1266.4324098449088</v>
      </c>
      <c r="L275" s="13">
        <v>0</v>
      </c>
      <c r="M275" s="95">
        <v>1266.4324098449088</v>
      </c>
    </row>
    <row r="276" spans="1:13" ht="24.75" customHeight="1" x14ac:dyDescent="0.2">
      <c r="A276" s="96" t="s">
        <v>435</v>
      </c>
      <c r="B276" s="15" t="s">
        <v>436</v>
      </c>
      <c r="C276" s="15"/>
      <c r="D276" s="19"/>
      <c r="E276" s="18"/>
      <c r="F276" s="18"/>
      <c r="G276" s="19">
        <v>22223.229661599999</v>
      </c>
      <c r="H276" s="19"/>
      <c r="I276" s="18"/>
      <c r="J276" s="19"/>
      <c r="K276" s="19">
        <v>1431.9716736000003</v>
      </c>
      <c r="L276" s="19">
        <v>0</v>
      </c>
      <c r="M276" s="97">
        <v>1431.9716736000003</v>
      </c>
    </row>
    <row r="277" spans="1:13" ht="24.75" hidden="1" customHeight="1" x14ac:dyDescent="0.2">
      <c r="A277" s="94" t="s">
        <v>437</v>
      </c>
      <c r="B277" s="11" t="s">
        <v>438</v>
      </c>
      <c r="C277" s="12" t="s">
        <v>28</v>
      </c>
      <c r="D277" s="13">
        <v>1</v>
      </c>
      <c r="E277" s="13">
        <v>125.08</v>
      </c>
      <c r="F277" s="13">
        <v>154.63</v>
      </c>
      <c r="G277" s="13">
        <v>154.63</v>
      </c>
      <c r="H277" s="13">
        <v>0</v>
      </c>
      <c r="I277" s="13">
        <v>0</v>
      </c>
      <c r="J277" s="13">
        <v>0</v>
      </c>
      <c r="K277" s="13">
        <v>0</v>
      </c>
      <c r="L277" s="13">
        <v>0</v>
      </c>
      <c r="M277" s="95">
        <v>0</v>
      </c>
    </row>
    <row r="278" spans="1:13" ht="24.75" customHeight="1" x14ac:dyDescent="0.2">
      <c r="A278" s="94" t="s">
        <v>439</v>
      </c>
      <c r="B278" s="11" t="s">
        <v>440</v>
      </c>
      <c r="C278" s="12" t="s">
        <v>28</v>
      </c>
      <c r="D278" s="13">
        <v>6</v>
      </c>
      <c r="E278" s="13">
        <v>289.56800000000004</v>
      </c>
      <c r="F278" s="13">
        <v>357.99291840000006</v>
      </c>
      <c r="G278" s="13">
        <v>2147.9575104000005</v>
      </c>
      <c r="H278" s="13">
        <v>4</v>
      </c>
      <c r="I278" s="13">
        <v>0</v>
      </c>
      <c r="J278" s="13">
        <v>4</v>
      </c>
      <c r="K278" s="13">
        <v>1431.9716736000003</v>
      </c>
      <c r="L278" s="13">
        <v>0</v>
      </c>
      <c r="M278" s="95">
        <v>1431.9716736000003</v>
      </c>
    </row>
    <row r="279" spans="1:13" ht="24.75" hidden="1" customHeight="1" x14ac:dyDescent="0.2">
      <c r="A279" s="94" t="s">
        <v>441</v>
      </c>
      <c r="B279" s="11" t="s">
        <v>442</v>
      </c>
      <c r="C279" s="12" t="s">
        <v>28</v>
      </c>
      <c r="D279" s="13">
        <v>4</v>
      </c>
      <c r="E279" s="13">
        <v>490.65</v>
      </c>
      <c r="F279" s="13">
        <v>606.59</v>
      </c>
      <c r="G279" s="13">
        <v>2426.36</v>
      </c>
      <c r="H279" s="13">
        <v>0</v>
      </c>
      <c r="I279" s="13">
        <v>0</v>
      </c>
      <c r="J279" s="13">
        <v>0</v>
      </c>
      <c r="K279" s="13">
        <v>0</v>
      </c>
      <c r="L279" s="13">
        <v>0</v>
      </c>
      <c r="M279" s="95">
        <v>0</v>
      </c>
    </row>
    <row r="280" spans="1:13" ht="24.75" hidden="1" customHeight="1" x14ac:dyDescent="0.2">
      <c r="A280" s="94" t="s">
        <v>443</v>
      </c>
      <c r="B280" s="11" t="s">
        <v>444</v>
      </c>
      <c r="C280" s="12" t="s">
        <v>28</v>
      </c>
      <c r="D280" s="13">
        <v>1</v>
      </c>
      <c r="E280" s="13">
        <v>514.78</v>
      </c>
      <c r="F280" s="13">
        <v>636.41999999999996</v>
      </c>
      <c r="G280" s="13">
        <v>636.41999999999996</v>
      </c>
      <c r="H280" s="13">
        <v>0</v>
      </c>
      <c r="I280" s="13">
        <v>0</v>
      </c>
      <c r="J280" s="13">
        <v>0</v>
      </c>
      <c r="K280" s="13">
        <v>0</v>
      </c>
      <c r="L280" s="13">
        <v>0</v>
      </c>
      <c r="M280" s="95">
        <v>0</v>
      </c>
    </row>
    <row r="281" spans="1:13" ht="24.75" hidden="1" customHeight="1" x14ac:dyDescent="0.2">
      <c r="A281" s="94" t="s">
        <v>445</v>
      </c>
      <c r="B281" s="11" t="s">
        <v>446</v>
      </c>
      <c r="C281" s="12" t="s">
        <v>28</v>
      </c>
      <c r="D281" s="13">
        <v>6</v>
      </c>
      <c r="E281" s="13">
        <v>481.60399999999998</v>
      </c>
      <c r="F281" s="13">
        <v>595.40702520000002</v>
      </c>
      <c r="G281" s="13">
        <v>3572.4421511999999</v>
      </c>
      <c r="H281" s="13">
        <v>0</v>
      </c>
      <c r="I281" s="13">
        <v>0</v>
      </c>
      <c r="J281" s="13">
        <v>0</v>
      </c>
      <c r="K281" s="13">
        <v>0</v>
      </c>
      <c r="L281" s="13">
        <v>0</v>
      </c>
      <c r="M281" s="95">
        <v>0</v>
      </c>
    </row>
    <row r="282" spans="1:13" ht="24.75" hidden="1" customHeight="1" x14ac:dyDescent="0.2">
      <c r="A282" s="94" t="s">
        <v>447</v>
      </c>
      <c r="B282" s="11" t="s">
        <v>448</v>
      </c>
      <c r="C282" s="12" t="s">
        <v>28</v>
      </c>
      <c r="D282" s="13">
        <v>1</v>
      </c>
      <c r="E282" s="13">
        <v>62.6</v>
      </c>
      <c r="F282" s="13">
        <v>77.39</v>
      </c>
      <c r="G282" s="13">
        <v>77.39</v>
      </c>
      <c r="H282" s="13">
        <v>0</v>
      </c>
      <c r="I282" s="13">
        <v>0</v>
      </c>
      <c r="J282" s="13">
        <v>0</v>
      </c>
      <c r="K282" s="13">
        <v>0</v>
      </c>
      <c r="L282" s="13">
        <v>0</v>
      </c>
      <c r="M282" s="95">
        <v>0</v>
      </c>
    </row>
    <row r="283" spans="1:13" ht="24.75" hidden="1" customHeight="1" x14ac:dyDescent="0.2">
      <c r="A283" s="94" t="s">
        <v>449</v>
      </c>
      <c r="B283" s="11" t="s">
        <v>450</v>
      </c>
      <c r="C283" s="12" t="s">
        <v>28</v>
      </c>
      <c r="D283" s="13">
        <v>5</v>
      </c>
      <c r="E283" s="13">
        <v>92.96</v>
      </c>
      <c r="F283" s="13">
        <v>114.92</v>
      </c>
      <c r="G283" s="13">
        <v>574.6</v>
      </c>
      <c r="H283" s="13">
        <v>0</v>
      </c>
      <c r="I283" s="13">
        <v>0</v>
      </c>
      <c r="J283" s="13">
        <v>0</v>
      </c>
      <c r="K283" s="13">
        <v>0</v>
      </c>
      <c r="L283" s="13">
        <v>0</v>
      </c>
      <c r="M283" s="95">
        <v>0</v>
      </c>
    </row>
    <row r="284" spans="1:13" ht="24.75" hidden="1" customHeight="1" x14ac:dyDescent="0.2">
      <c r="A284" s="94" t="s">
        <v>451</v>
      </c>
      <c r="B284" s="11" t="s">
        <v>452</v>
      </c>
      <c r="C284" s="12" t="s">
        <v>28</v>
      </c>
      <c r="D284" s="13">
        <v>2</v>
      </c>
      <c r="E284" s="13">
        <v>893.41</v>
      </c>
      <c r="F284" s="13">
        <v>1033.5899999999999</v>
      </c>
      <c r="G284" s="13">
        <v>2067.1799999999998</v>
      </c>
      <c r="H284" s="13">
        <v>0</v>
      </c>
      <c r="I284" s="13">
        <v>0</v>
      </c>
      <c r="J284" s="13">
        <v>0</v>
      </c>
      <c r="K284" s="13">
        <v>0</v>
      </c>
      <c r="L284" s="13">
        <v>0</v>
      </c>
      <c r="M284" s="95">
        <v>0</v>
      </c>
    </row>
    <row r="285" spans="1:13" ht="24.75" hidden="1" customHeight="1" x14ac:dyDescent="0.2">
      <c r="A285" s="94" t="s">
        <v>453</v>
      </c>
      <c r="B285" s="11" t="s">
        <v>454</v>
      </c>
      <c r="C285" s="12" t="s">
        <v>28</v>
      </c>
      <c r="D285" s="13">
        <v>1</v>
      </c>
      <c r="E285" s="13">
        <v>763.36</v>
      </c>
      <c r="F285" s="13">
        <v>883.13</v>
      </c>
      <c r="G285" s="13">
        <v>883.13</v>
      </c>
      <c r="H285" s="13">
        <v>0</v>
      </c>
      <c r="I285" s="13">
        <v>0</v>
      </c>
      <c r="J285" s="13">
        <v>0</v>
      </c>
      <c r="K285" s="13">
        <v>0</v>
      </c>
      <c r="L285" s="13">
        <v>0</v>
      </c>
      <c r="M285" s="95">
        <v>0</v>
      </c>
    </row>
    <row r="286" spans="1:13" ht="24.75" hidden="1" customHeight="1" x14ac:dyDescent="0.2">
      <c r="A286" s="94" t="s">
        <v>455</v>
      </c>
      <c r="B286" s="11" t="s">
        <v>456</v>
      </c>
      <c r="C286" s="12" t="s">
        <v>28</v>
      </c>
      <c r="D286" s="13">
        <v>1</v>
      </c>
      <c r="E286" s="13">
        <v>581.22</v>
      </c>
      <c r="F286" s="13">
        <v>672.41</v>
      </c>
      <c r="G286" s="13">
        <v>672.41</v>
      </c>
      <c r="H286" s="13">
        <v>0</v>
      </c>
      <c r="I286" s="13">
        <v>0</v>
      </c>
      <c r="J286" s="13">
        <v>0</v>
      </c>
      <c r="K286" s="13">
        <v>0</v>
      </c>
      <c r="L286" s="13">
        <v>0</v>
      </c>
      <c r="M286" s="95">
        <v>0</v>
      </c>
    </row>
    <row r="287" spans="1:13" ht="24.75" hidden="1" customHeight="1" x14ac:dyDescent="0.2">
      <c r="A287" s="94" t="s">
        <v>457</v>
      </c>
      <c r="B287" s="11" t="s">
        <v>458</v>
      </c>
      <c r="C287" s="12" t="s">
        <v>28</v>
      </c>
      <c r="D287" s="13">
        <v>7</v>
      </c>
      <c r="E287" s="13">
        <v>19.36</v>
      </c>
      <c r="F287" s="13">
        <v>22.4</v>
      </c>
      <c r="G287" s="13">
        <v>156.79999999999998</v>
      </c>
      <c r="H287" s="13">
        <v>0</v>
      </c>
      <c r="I287" s="13">
        <v>0</v>
      </c>
      <c r="J287" s="13">
        <v>0</v>
      </c>
      <c r="K287" s="13">
        <v>0</v>
      </c>
      <c r="L287" s="13">
        <v>0</v>
      </c>
      <c r="M287" s="95">
        <v>0</v>
      </c>
    </row>
    <row r="288" spans="1:13" ht="24.75" hidden="1" customHeight="1" x14ac:dyDescent="0.2">
      <c r="A288" s="94" t="s">
        <v>459</v>
      </c>
      <c r="B288" s="11" t="s">
        <v>460</v>
      </c>
      <c r="C288" s="12" t="s">
        <v>28</v>
      </c>
      <c r="D288" s="13">
        <v>25</v>
      </c>
      <c r="E288" s="13">
        <v>283.33</v>
      </c>
      <c r="F288" s="13">
        <v>327.78</v>
      </c>
      <c r="G288" s="13">
        <v>8194.5</v>
      </c>
      <c r="H288" s="13">
        <v>0</v>
      </c>
      <c r="I288" s="13">
        <v>0</v>
      </c>
      <c r="J288" s="13">
        <v>0</v>
      </c>
      <c r="K288" s="13">
        <v>0</v>
      </c>
      <c r="L288" s="13">
        <v>0</v>
      </c>
      <c r="M288" s="95">
        <v>0</v>
      </c>
    </row>
    <row r="289" spans="1:13" ht="24.75" hidden="1" customHeight="1" x14ac:dyDescent="0.2">
      <c r="A289" s="94" t="s">
        <v>461</v>
      </c>
      <c r="B289" s="11" t="s">
        <v>462</v>
      </c>
      <c r="C289" s="12" t="s">
        <v>28</v>
      </c>
      <c r="D289" s="13">
        <v>3</v>
      </c>
      <c r="E289" s="13">
        <v>29.39</v>
      </c>
      <c r="F289" s="13">
        <v>36.33</v>
      </c>
      <c r="G289" s="13">
        <v>108.99</v>
      </c>
      <c r="H289" s="13">
        <v>0</v>
      </c>
      <c r="I289" s="13">
        <v>0</v>
      </c>
      <c r="J289" s="13">
        <v>0</v>
      </c>
      <c r="K289" s="13">
        <v>0</v>
      </c>
      <c r="L289" s="13">
        <v>0</v>
      </c>
      <c r="M289" s="95">
        <v>0</v>
      </c>
    </row>
    <row r="290" spans="1:13" ht="24.75" hidden="1" customHeight="1" x14ac:dyDescent="0.2">
      <c r="A290" s="94" t="s">
        <v>463</v>
      </c>
      <c r="B290" s="11" t="s">
        <v>464</v>
      </c>
      <c r="C290" s="12" t="s">
        <v>28</v>
      </c>
      <c r="D290" s="13">
        <v>7</v>
      </c>
      <c r="E290" s="13">
        <v>5.27</v>
      </c>
      <c r="F290" s="13">
        <v>6.51</v>
      </c>
      <c r="G290" s="13">
        <v>45.57</v>
      </c>
      <c r="H290" s="13">
        <v>0</v>
      </c>
      <c r="I290" s="13">
        <v>0</v>
      </c>
      <c r="J290" s="13">
        <v>0</v>
      </c>
      <c r="K290" s="13">
        <v>0</v>
      </c>
      <c r="L290" s="13">
        <v>0</v>
      </c>
      <c r="M290" s="95">
        <v>0</v>
      </c>
    </row>
    <row r="291" spans="1:13" ht="24.75" hidden="1" customHeight="1" x14ac:dyDescent="0.2">
      <c r="A291" s="94" t="s">
        <v>465</v>
      </c>
      <c r="B291" s="11" t="s">
        <v>466</v>
      </c>
      <c r="C291" s="12" t="s">
        <v>28</v>
      </c>
      <c r="D291" s="13">
        <v>1</v>
      </c>
      <c r="E291" s="13">
        <v>12.22</v>
      </c>
      <c r="F291" s="13">
        <v>15.1</v>
      </c>
      <c r="G291" s="13">
        <v>15.1</v>
      </c>
      <c r="H291" s="13">
        <v>0</v>
      </c>
      <c r="I291" s="13">
        <v>0</v>
      </c>
      <c r="J291" s="13">
        <v>0</v>
      </c>
      <c r="K291" s="13">
        <v>0</v>
      </c>
      <c r="L291" s="13">
        <v>0</v>
      </c>
      <c r="M291" s="95">
        <v>0</v>
      </c>
    </row>
    <row r="292" spans="1:13" ht="24.75" hidden="1" customHeight="1" x14ac:dyDescent="0.2">
      <c r="A292" s="94" t="s">
        <v>467</v>
      </c>
      <c r="B292" s="11" t="s">
        <v>468</v>
      </c>
      <c r="C292" s="12" t="s">
        <v>28</v>
      </c>
      <c r="D292" s="13">
        <v>25</v>
      </c>
      <c r="E292" s="13">
        <v>15.85</v>
      </c>
      <c r="F292" s="13">
        <v>19.59</v>
      </c>
      <c r="G292" s="13">
        <v>489.75</v>
      </c>
      <c r="H292" s="13">
        <v>0</v>
      </c>
      <c r="I292" s="13">
        <v>0</v>
      </c>
      <c r="J292" s="13">
        <v>0</v>
      </c>
      <c r="K292" s="13">
        <v>0</v>
      </c>
      <c r="L292" s="13">
        <v>0</v>
      </c>
      <c r="M292" s="95">
        <v>0</v>
      </c>
    </row>
    <row r="293" spans="1:13" ht="24.75" customHeight="1" x14ac:dyDescent="0.2">
      <c r="A293" s="96" t="s">
        <v>469</v>
      </c>
      <c r="B293" s="15" t="s">
        <v>470</v>
      </c>
      <c r="C293" s="15"/>
      <c r="D293" s="19"/>
      <c r="E293" s="18"/>
      <c r="F293" s="18"/>
      <c r="G293" s="19">
        <v>44383.06</v>
      </c>
      <c r="H293" s="19"/>
      <c r="I293" s="19"/>
      <c r="J293" s="19"/>
      <c r="K293" s="19">
        <v>772.14</v>
      </c>
      <c r="L293" s="19">
        <v>39043.259999999995</v>
      </c>
      <c r="M293" s="97">
        <v>39815.400000000009</v>
      </c>
    </row>
    <row r="294" spans="1:13" ht="24.75" hidden="1" customHeight="1" x14ac:dyDescent="0.2">
      <c r="A294" s="94" t="s">
        <v>471</v>
      </c>
      <c r="B294" s="11" t="s">
        <v>472</v>
      </c>
      <c r="C294" s="12" t="s">
        <v>28</v>
      </c>
      <c r="D294" s="13">
        <v>0</v>
      </c>
      <c r="E294" s="13">
        <v>394.86</v>
      </c>
      <c r="F294" s="13">
        <v>488.16</v>
      </c>
      <c r="G294" s="13">
        <v>0</v>
      </c>
      <c r="H294" s="13">
        <v>0</v>
      </c>
      <c r="I294" s="13">
        <v>0</v>
      </c>
      <c r="J294" s="13">
        <v>0</v>
      </c>
      <c r="K294" s="13">
        <v>0</v>
      </c>
      <c r="L294" s="13">
        <v>0</v>
      </c>
      <c r="M294" s="95">
        <v>0</v>
      </c>
    </row>
    <row r="295" spans="1:13" ht="24.75" hidden="1" customHeight="1" x14ac:dyDescent="0.2">
      <c r="A295" s="94" t="s">
        <v>473</v>
      </c>
      <c r="B295" s="11" t="s">
        <v>474</v>
      </c>
      <c r="C295" s="12" t="s">
        <v>28</v>
      </c>
      <c r="D295" s="13">
        <v>0</v>
      </c>
      <c r="E295" s="13">
        <v>345.39</v>
      </c>
      <c r="F295" s="13">
        <v>399.58</v>
      </c>
      <c r="G295" s="13">
        <v>0</v>
      </c>
      <c r="H295" s="13">
        <v>0</v>
      </c>
      <c r="I295" s="13">
        <v>0</v>
      </c>
      <c r="J295" s="13">
        <v>0</v>
      </c>
      <c r="K295" s="13">
        <v>0</v>
      </c>
      <c r="L295" s="13">
        <v>0</v>
      </c>
      <c r="M295" s="95">
        <v>0</v>
      </c>
    </row>
    <row r="296" spans="1:13" ht="24.75" customHeight="1" x14ac:dyDescent="0.2">
      <c r="A296" s="94" t="s">
        <v>475</v>
      </c>
      <c r="B296" s="11" t="s">
        <v>476</v>
      </c>
      <c r="C296" s="12" t="s">
        <v>28</v>
      </c>
      <c r="D296" s="13">
        <v>36</v>
      </c>
      <c r="E296" s="13">
        <v>71.59</v>
      </c>
      <c r="F296" s="13">
        <v>88.5</v>
      </c>
      <c r="G296" s="13">
        <v>3186</v>
      </c>
      <c r="H296" s="13">
        <v>4</v>
      </c>
      <c r="I296" s="13">
        <v>32</v>
      </c>
      <c r="J296" s="13">
        <v>36</v>
      </c>
      <c r="K296" s="13">
        <v>354</v>
      </c>
      <c r="L296" s="13">
        <v>2832</v>
      </c>
      <c r="M296" s="95">
        <v>3186</v>
      </c>
    </row>
    <row r="297" spans="1:13" ht="24.75" customHeight="1" x14ac:dyDescent="0.2">
      <c r="A297" s="94" t="s">
        <v>477</v>
      </c>
      <c r="B297" s="11" t="s">
        <v>478</v>
      </c>
      <c r="C297" s="12" t="s">
        <v>28</v>
      </c>
      <c r="D297" s="13">
        <v>9</v>
      </c>
      <c r="E297" s="13">
        <v>71.59</v>
      </c>
      <c r="F297" s="13">
        <v>88.5</v>
      </c>
      <c r="G297" s="13">
        <v>796.5</v>
      </c>
      <c r="H297" s="13">
        <v>0</v>
      </c>
      <c r="I297" s="13">
        <v>9</v>
      </c>
      <c r="J297" s="13">
        <v>9</v>
      </c>
      <c r="K297" s="13">
        <v>0</v>
      </c>
      <c r="L297" s="13">
        <v>796.5</v>
      </c>
      <c r="M297" s="95">
        <v>796.5</v>
      </c>
    </row>
    <row r="298" spans="1:13" ht="24.75" hidden="1" customHeight="1" x14ac:dyDescent="0.2">
      <c r="A298" s="94" t="s">
        <v>479</v>
      </c>
      <c r="B298" s="11" t="s">
        <v>480</v>
      </c>
      <c r="C298" s="12" t="s">
        <v>28</v>
      </c>
      <c r="D298" s="13">
        <v>0</v>
      </c>
      <c r="E298" s="13">
        <v>1115.04</v>
      </c>
      <c r="F298" s="13">
        <v>1289.99</v>
      </c>
      <c r="G298" s="13">
        <v>0</v>
      </c>
      <c r="H298" s="13">
        <v>0</v>
      </c>
      <c r="I298" s="13">
        <v>0</v>
      </c>
      <c r="J298" s="13">
        <v>0</v>
      </c>
      <c r="K298" s="13">
        <v>0</v>
      </c>
      <c r="L298" s="13">
        <v>0</v>
      </c>
      <c r="M298" s="95">
        <v>0</v>
      </c>
    </row>
    <row r="299" spans="1:13" ht="24.75" customHeight="1" x14ac:dyDescent="0.2">
      <c r="A299" s="94" t="s">
        <v>481</v>
      </c>
      <c r="B299" s="11" t="s">
        <v>482</v>
      </c>
      <c r="C299" s="12" t="s">
        <v>28</v>
      </c>
      <c r="D299" s="13">
        <v>25</v>
      </c>
      <c r="E299" s="13">
        <v>75.349999999999994</v>
      </c>
      <c r="F299" s="13">
        <v>93.15</v>
      </c>
      <c r="G299" s="13">
        <v>2328.75</v>
      </c>
      <c r="H299" s="13">
        <v>0</v>
      </c>
      <c r="I299" s="13">
        <v>25</v>
      </c>
      <c r="J299" s="13">
        <v>25</v>
      </c>
      <c r="K299" s="13">
        <v>0</v>
      </c>
      <c r="L299" s="13">
        <v>2328.75</v>
      </c>
      <c r="M299" s="95">
        <v>2328.75</v>
      </c>
    </row>
    <row r="300" spans="1:13" ht="24.75" customHeight="1" x14ac:dyDescent="0.2">
      <c r="A300" s="94" t="s">
        <v>483</v>
      </c>
      <c r="B300" s="11" t="s">
        <v>484</v>
      </c>
      <c r="C300" s="12" t="s">
        <v>28</v>
      </c>
      <c r="D300" s="13">
        <v>47</v>
      </c>
      <c r="E300" s="13">
        <v>81.02</v>
      </c>
      <c r="F300" s="13">
        <v>100.16</v>
      </c>
      <c r="G300" s="13">
        <v>4707.5199999999995</v>
      </c>
      <c r="H300" s="13">
        <v>0</v>
      </c>
      <c r="I300" s="13">
        <v>47</v>
      </c>
      <c r="J300" s="13">
        <v>47</v>
      </c>
      <c r="K300" s="13">
        <v>0</v>
      </c>
      <c r="L300" s="13">
        <v>4707.5199999999995</v>
      </c>
      <c r="M300" s="95">
        <v>4707.5199999999995</v>
      </c>
    </row>
    <row r="301" spans="1:13" ht="24.75" hidden="1" customHeight="1" x14ac:dyDescent="0.2">
      <c r="A301" s="94" t="s">
        <v>485</v>
      </c>
      <c r="B301" s="11" t="s">
        <v>486</v>
      </c>
      <c r="C301" s="12" t="s">
        <v>28</v>
      </c>
      <c r="D301" s="13">
        <v>0</v>
      </c>
      <c r="E301" s="13">
        <v>88.46</v>
      </c>
      <c r="F301" s="13">
        <v>109.36</v>
      </c>
      <c r="G301" s="13">
        <v>0</v>
      </c>
      <c r="H301" s="13">
        <v>0</v>
      </c>
      <c r="I301" s="13">
        <v>0</v>
      </c>
      <c r="J301" s="13">
        <v>0</v>
      </c>
      <c r="K301" s="13">
        <v>0</v>
      </c>
      <c r="L301" s="13">
        <v>0</v>
      </c>
      <c r="M301" s="95">
        <v>0</v>
      </c>
    </row>
    <row r="302" spans="1:13" ht="24.75" hidden="1" customHeight="1" x14ac:dyDescent="0.2">
      <c r="A302" s="94" t="s">
        <v>487</v>
      </c>
      <c r="B302" s="11" t="s">
        <v>488</v>
      </c>
      <c r="C302" s="12" t="s">
        <v>28</v>
      </c>
      <c r="D302" s="13">
        <v>0</v>
      </c>
      <c r="E302" s="13">
        <v>66.66</v>
      </c>
      <c r="F302" s="13">
        <v>77.12</v>
      </c>
      <c r="G302" s="13">
        <v>0</v>
      </c>
      <c r="H302" s="13">
        <v>0</v>
      </c>
      <c r="I302" s="13">
        <v>0</v>
      </c>
      <c r="J302" s="13">
        <v>0</v>
      </c>
      <c r="K302" s="13">
        <v>0</v>
      </c>
      <c r="L302" s="13">
        <v>0</v>
      </c>
      <c r="M302" s="95">
        <v>0</v>
      </c>
    </row>
    <row r="303" spans="1:13" ht="24.75" customHeight="1" x14ac:dyDescent="0.2">
      <c r="A303" s="94" t="s">
        <v>489</v>
      </c>
      <c r="B303" s="11" t="s">
        <v>490</v>
      </c>
      <c r="C303" s="12" t="s">
        <v>28</v>
      </c>
      <c r="D303" s="13">
        <v>3</v>
      </c>
      <c r="E303" s="13">
        <v>97.34</v>
      </c>
      <c r="F303" s="13">
        <v>112.61</v>
      </c>
      <c r="G303" s="13">
        <v>337.83</v>
      </c>
      <c r="H303" s="13">
        <v>0</v>
      </c>
      <c r="I303" s="13">
        <v>3</v>
      </c>
      <c r="J303" s="13">
        <v>3</v>
      </c>
      <c r="K303" s="13">
        <v>0</v>
      </c>
      <c r="L303" s="13">
        <v>337.83</v>
      </c>
      <c r="M303" s="95">
        <v>337.83</v>
      </c>
    </row>
    <row r="304" spans="1:13" ht="24.75" hidden="1" customHeight="1" x14ac:dyDescent="0.2">
      <c r="A304" s="94" t="s">
        <v>491</v>
      </c>
      <c r="B304" s="11" t="s">
        <v>492</v>
      </c>
      <c r="C304" s="12" t="s">
        <v>28</v>
      </c>
      <c r="D304" s="13">
        <v>0</v>
      </c>
      <c r="E304" s="13">
        <v>3140.8240000000005</v>
      </c>
      <c r="F304" s="13">
        <v>3633.62</v>
      </c>
      <c r="G304" s="13">
        <v>0</v>
      </c>
      <c r="H304" s="13">
        <v>0</v>
      </c>
      <c r="I304" s="13">
        <v>0</v>
      </c>
      <c r="J304" s="13">
        <v>0</v>
      </c>
      <c r="K304" s="13">
        <v>0</v>
      </c>
      <c r="L304" s="13">
        <v>0</v>
      </c>
      <c r="M304" s="95">
        <v>0</v>
      </c>
    </row>
    <row r="305" spans="1:13" ht="24.75" hidden="1" customHeight="1" x14ac:dyDescent="0.2">
      <c r="A305" s="94" t="s">
        <v>493</v>
      </c>
      <c r="B305" s="11" t="s">
        <v>494</v>
      </c>
      <c r="C305" s="12" t="s">
        <v>28</v>
      </c>
      <c r="D305" s="13">
        <v>0</v>
      </c>
      <c r="E305" s="13">
        <v>53.53</v>
      </c>
      <c r="F305" s="13">
        <v>66.17</v>
      </c>
      <c r="G305" s="13">
        <v>0</v>
      </c>
      <c r="H305" s="13">
        <v>0</v>
      </c>
      <c r="I305" s="13">
        <v>0</v>
      </c>
      <c r="J305" s="13">
        <v>0</v>
      </c>
      <c r="K305" s="13">
        <v>0</v>
      </c>
      <c r="L305" s="13">
        <v>0</v>
      </c>
      <c r="M305" s="95">
        <v>0</v>
      </c>
    </row>
    <row r="306" spans="1:13" ht="24.75" hidden="1" customHeight="1" x14ac:dyDescent="0.2">
      <c r="A306" s="94" t="s">
        <v>495</v>
      </c>
      <c r="B306" s="11" t="s">
        <v>496</v>
      </c>
      <c r="C306" s="12" t="s">
        <v>28</v>
      </c>
      <c r="D306" s="13">
        <v>0</v>
      </c>
      <c r="E306" s="13">
        <v>54.52</v>
      </c>
      <c r="F306" s="13">
        <v>67.400000000000006</v>
      </c>
      <c r="G306" s="13">
        <v>0</v>
      </c>
      <c r="H306" s="13">
        <v>0</v>
      </c>
      <c r="I306" s="13">
        <v>0</v>
      </c>
      <c r="J306" s="13">
        <v>0</v>
      </c>
      <c r="K306" s="13">
        <v>0</v>
      </c>
      <c r="L306" s="13">
        <v>0</v>
      </c>
      <c r="M306" s="95">
        <v>0</v>
      </c>
    </row>
    <row r="307" spans="1:13" ht="24.75" hidden="1" customHeight="1" x14ac:dyDescent="0.2">
      <c r="A307" s="94" t="s">
        <v>497</v>
      </c>
      <c r="B307" s="11" t="s">
        <v>498</v>
      </c>
      <c r="C307" s="12" t="s">
        <v>28</v>
      </c>
      <c r="D307" s="13">
        <v>0</v>
      </c>
      <c r="E307" s="13">
        <v>56.63</v>
      </c>
      <c r="F307" s="13">
        <v>70.010000000000005</v>
      </c>
      <c r="G307" s="13">
        <v>0</v>
      </c>
      <c r="H307" s="13">
        <v>0</v>
      </c>
      <c r="I307" s="13">
        <v>0</v>
      </c>
      <c r="J307" s="13">
        <v>0</v>
      </c>
      <c r="K307" s="13">
        <v>0</v>
      </c>
      <c r="L307" s="13">
        <v>0</v>
      </c>
      <c r="M307" s="95">
        <v>0</v>
      </c>
    </row>
    <row r="308" spans="1:13" ht="24.75" customHeight="1" x14ac:dyDescent="0.2">
      <c r="A308" s="94" t="s">
        <v>499</v>
      </c>
      <c r="B308" s="11" t="s">
        <v>500</v>
      </c>
      <c r="C308" s="12" t="s">
        <v>28</v>
      </c>
      <c r="D308" s="13">
        <v>5</v>
      </c>
      <c r="E308" s="13">
        <v>56.63</v>
      </c>
      <c r="F308" s="13">
        <v>70.010000000000005</v>
      </c>
      <c r="G308" s="13">
        <v>350.05</v>
      </c>
      <c r="H308" s="13">
        <v>5</v>
      </c>
      <c r="I308" s="13">
        <v>0</v>
      </c>
      <c r="J308" s="13">
        <v>5</v>
      </c>
      <c r="K308" s="13">
        <v>350.05</v>
      </c>
      <c r="L308" s="13">
        <v>0</v>
      </c>
      <c r="M308" s="95">
        <v>350.05</v>
      </c>
    </row>
    <row r="309" spans="1:13" ht="24.75" hidden="1" customHeight="1" x14ac:dyDescent="0.2">
      <c r="A309" s="94" t="s">
        <v>501</v>
      </c>
      <c r="B309" s="11" t="s">
        <v>502</v>
      </c>
      <c r="C309" s="12" t="s">
        <v>28</v>
      </c>
      <c r="D309" s="13">
        <v>0</v>
      </c>
      <c r="E309" s="13">
        <v>59.14</v>
      </c>
      <c r="F309" s="13">
        <v>73.11</v>
      </c>
      <c r="G309" s="13">
        <v>0</v>
      </c>
      <c r="H309" s="13">
        <v>0</v>
      </c>
      <c r="I309" s="13">
        <v>0</v>
      </c>
      <c r="J309" s="13">
        <v>0</v>
      </c>
      <c r="K309" s="13">
        <v>0</v>
      </c>
      <c r="L309" s="13">
        <v>0</v>
      </c>
      <c r="M309" s="95">
        <v>0</v>
      </c>
    </row>
    <row r="310" spans="1:13" ht="24.75" hidden="1" customHeight="1" x14ac:dyDescent="0.2">
      <c r="A310" s="94" t="s">
        <v>503</v>
      </c>
      <c r="B310" s="11" t="s">
        <v>504</v>
      </c>
      <c r="C310" s="12" t="s">
        <v>28</v>
      </c>
      <c r="D310" s="13">
        <v>0</v>
      </c>
      <c r="E310" s="13">
        <v>62.18</v>
      </c>
      <c r="F310" s="13">
        <v>76.87</v>
      </c>
      <c r="G310" s="13">
        <v>0</v>
      </c>
      <c r="H310" s="13">
        <v>0</v>
      </c>
      <c r="I310" s="13">
        <v>0</v>
      </c>
      <c r="J310" s="13">
        <v>0</v>
      </c>
      <c r="K310" s="13">
        <v>0</v>
      </c>
      <c r="L310" s="13">
        <v>0</v>
      </c>
      <c r="M310" s="95">
        <v>0</v>
      </c>
    </row>
    <row r="311" spans="1:13" ht="24.75" hidden="1" customHeight="1" x14ac:dyDescent="0.2">
      <c r="A311" s="94" t="s">
        <v>505</v>
      </c>
      <c r="B311" s="11" t="s">
        <v>506</v>
      </c>
      <c r="C311" s="12" t="s">
        <v>28</v>
      </c>
      <c r="D311" s="13">
        <v>0</v>
      </c>
      <c r="E311" s="13">
        <v>67.150000000000006</v>
      </c>
      <c r="F311" s="13">
        <v>83.01</v>
      </c>
      <c r="G311" s="13">
        <v>0</v>
      </c>
      <c r="H311" s="13">
        <v>0</v>
      </c>
      <c r="I311" s="13">
        <v>0</v>
      </c>
      <c r="J311" s="13">
        <v>0</v>
      </c>
      <c r="K311" s="13">
        <v>0</v>
      </c>
      <c r="L311" s="13">
        <v>0</v>
      </c>
      <c r="M311" s="95">
        <v>0</v>
      </c>
    </row>
    <row r="312" spans="1:13" ht="24.75" customHeight="1" x14ac:dyDescent="0.2">
      <c r="A312" s="94" t="s">
        <v>507</v>
      </c>
      <c r="B312" s="11" t="s">
        <v>508</v>
      </c>
      <c r="C312" s="12" t="s">
        <v>28</v>
      </c>
      <c r="D312" s="13">
        <v>58</v>
      </c>
      <c r="E312" s="13">
        <v>10.92</v>
      </c>
      <c r="F312" s="13">
        <v>13.5</v>
      </c>
      <c r="G312" s="13">
        <v>783</v>
      </c>
      <c r="H312" s="13">
        <v>4</v>
      </c>
      <c r="I312" s="13">
        <v>54</v>
      </c>
      <c r="J312" s="13">
        <v>58</v>
      </c>
      <c r="K312" s="13">
        <v>54</v>
      </c>
      <c r="L312" s="13">
        <v>729</v>
      </c>
      <c r="M312" s="95">
        <v>783</v>
      </c>
    </row>
    <row r="313" spans="1:13" ht="24.75" customHeight="1" x14ac:dyDescent="0.2">
      <c r="A313" s="94" t="s">
        <v>509</v>
      </c>
      <c r="B313" s="11" t="s">
        <v>510</v>
      </c>
      <c r="C313" s="12" t="s">
        <v>28</v>
      </c>
      <c r="D313" s="13">
        <v>304</v>
      </c>
      <c r="E313" s="13">
        <v>11.4</v>
      </c>
      <c r="F313" s="13">
        <v>14.09</v>
      </c>
      <c r="G313" s="13">
        <v>4283.3599999999997</v>
      </c>
      <c r="H313" s="13">
        <v>1</v>
      </c>
      <c r="I313" s="13">
        <v>303</v>
      </c>
      <c r="J313" s="13">
        <v>304</v>
      </c>
      <c r="K313" s="13">
        <v>14.09</v>
      </c>
      <c r="L313" s="13">
        <v>4269.2699999999995</v>
      </c>
      <c r="M313" s="95">
        <v>4283.3599999999997</v>
      </c>
    </row>
    <row r="314" spans="1:13" ht="24.75" customHeight="1" x14ac:dyDescent="0.2">
      <c r="A314" s="94" t="s">
        <v>511</v>
      </c>
      <c r="B314" s="11" t="s">
        <v>512</v>
      </c>
      <c r="C314" s="12" t="s">
        <v>28</v>
      </c>
      <c r="D314" s="13">
        <v>2</v>
      </c>
      <c r="E314" s="13">
        <v>12.46</v>
      </c>
      <c r="F314" s="13">
        <v>15.4</v>
      </c>
      <c r="G314" s="13">
        <v>30.8</v>
      </c>
      <c r="H314" s="13">
        <v>0</v>
      </c>
      <c r="I314" s="13">
        <v>2</v>
      </c>
      <c r="J314" s="13">
        <v>2</v>
      </c>
      <c r="K314" s="13">
        <v>0</v>
      </c>
      <c r="L314" s="13">
        <v>30.8</v>
      </c>
      <c r="M314" s="95">
        <v>30.8</v>
      </c>
    </row>
    <row r="315" spans="1:13" ht="24.75" customHeight="1" x14ac:dyDescent="0.2">
      <c r="A315" s="94" t="s">
        <v>513</v>
      </c>
      <c r="B315" s="11" t="s">
        <v>514</v>
      </c>
      <c r="C315" s="12" t="s">
        <v>28</v>
      </c>
      <c r="D315" s="13">
        <v>6</v>
      </c>
      <c r="E315" s="13">
        <v>12.46</v>
      </c>
      <c r="F315" s="13">
        <v>15.4</v>
      </c>
      <c r="G315" s="13">
        <v>92.4</v>
      </c>
      <c r="H315" s="13">
        <v>0</v>
      </c>
      <c r="I315" s="13">
        <v>6</v>
      </c>
      <c r="J315" s="13">
        <v>6</v>
      </c>
      <c r="K315" s="13">
        <v>0</v>
      </c>
      <c r="L315" s="13">
        <v>92.4</v>
      </c>
      <c r="M315" s="95">
        <v>92.4</v>
      </c>
    </row>
    <row r="316" spans="1:13" ht="24.75" hidden="1" customHeight="1" x14ac:dyDescent="0.2">
      <c r="A316" s="94" t="s">
        <v>515</v>
      </c>
      <c r="B316" s="11" t="s">
        <v>516</v>
      </c>
      <c r="C316" s="12" t="s">
        <v>28</v>
      </c>
      <c r="D316" s="13">
        <v>0</v>
      </c>
      <c r="E316" s="13">
        <v>13.71</v>
      </c>
      <c r="F316" s="13">
        <v>16.940000000000001</v>
      </c>
      <c r="G316" s="13">
        <v>0</v>
      </c>
      <c r="H316" s="13">
        <v>0</v>
      </c>
      <c r="I316" s="13">
        <v>0</v>
      </c>
      <c r="J316" s="13">
        <v>0</v>
      </c>
      <c r="K316" s="13">
        <v>0</v>
      </c>
      <c r="L316" s="13">
        <v>0</v>
      </c>
      <c r="M316" s="95">
        <v>0</v>
      </c>
    </row>
    <row r="317" spans="1:13" ht="24.75" customHeight="1" x14ac:dyDescent="0.2">
      <c r="A317" s="94" t="s">
        <v>517</v>
      </c>
      <c r="B317" s="11" t="s">
        <v>518</v>
      </c>
      <c r="C317" s="12" t="s">
        <v>28</v>
      </c>
      <c r="D317" s="13">
        <v>2</v>
      </c>
      <c r="E317" s="13">
        <v>19.7</v>
      </c>
      <c r="F317" s="13">
        <v>24.35</v>
      </c>
      <c r="G317" s="13">
        <v>48.7</v>
      </c>
      <c r="H317" s="13">
        <v>0</v>
      </c>
      <c r="I317" s="13">
        <v>2</v>
      </c>
      <c r="J317" s="13">
        <v>2</v>
      </c>
      <c r="K317" s="13">
        <v>0</v>
      </c>
      <c r="L317" s="13">
        <v>48.7</v>
      </c>
      <c r="M317" s="95">
        <v>48.7</v>
      </c>
    </row>
    <row r="318" spans="1:13" ht="24.75" customHeight="1" x14ac:dyDescent="0.2">
      <c r="A318" s="94" t="s">
        <v>519</v>
      </c>
      <c r="B318" s="11" t="s">
        <v>520</v>
      </c>
      <c r="C318" s="12" t="s">
        <v>28</v>
      </c>
      <c r="D318" s="13">
        <v>3</v>
      </c>
      <c r="E318" s="13">
        <v>143.80000000000001</v>
      </c>
      <c r="F318" s="13">
        <v>177.77</v>
      </c>
      <c r="G318" s="13">
        <v>533.31000000000006</v>
      </c>
      <c r="H318" s="13">
        <v>0</v>
      </c>
      <c r="I318" s="13">
        <v>3</v>
      </c>
      <c r="J318" s="13">
        <v>3</v>
      </c>
      <c r="K318" s="13">
        <v>0</v>
      </c>
      <c r="L318" s="13">
        <v>533.31000000000006</v>
      </c>
      <c r="M318" s="95">
        <v>533.31000000000006</v>
      </c>
    </row>
    <row r="319" spans="1:13" ht="24.75" hidden="1" customHeight="1" x14ac:dyDescent="0.2">
      <c r="A319" s="94" t="s">
        <v>521</v>
      </c>
      <c r="B319" s="11" t="s">
        <v>522</v>
      </c>
      <c r="C319" s="12" t="s">
        <v>28</v>
      </c>
      <c r="D319" s="13">
        <v>0</v>
      </c>
      <c r="E319" s="13">
        <v>139.41999999999999</v>
      </c>
      <c r="F319" s="13">
        <v>161.29</v>
      </c>
      <c r="G319" s="13">
        <v>0</v>
      </c>
      <c r="H319" s="13">
        <v>0</v>
      </c>
      <c r="I319" s="13">
        <v>0</v>
      </c>
      <c r="J319" s="13">
        <v>0</v>
      </c>
      <c r="K319" s="13">
        <v>0</v>
      </c>
      <c r="L319" s="13">
        <v>0</v>
      </c>
      <c r="M319" s="95">
        <v>0</v>
      </c>
    </row>
    <row r="320" spans="1:13" ht="24.75" customHeight="1" x14ac:dyDescent="0.2">
      <c r="A320" s="94" t="s">
        <v>523</v>
      </c>
      <c r="B320" s="11" t="s">
        <v>524</v>
      </c>
      <c r="C320" s="12" t="s">
        <v>28</v>
      </c>
      <c r="D320" s="13">
        <v>68</v>
      </c>
      <c r="E320" s="13">
        <v>122.36</v>
      </c>
      <c r="F320" s="13">
        <v>141.56</v>
      </c>
      <c r="G320" s="13">
        <v>9626.08</v>
      </c>
      <c r="H320" s="13">
        <v>0</v>
      </c>
      <c r="I320" s="13">
        <v>68</v>
      </c>
      <c r="J320" s="13">
        <v>68</v>
      </c>
      <c r="K320" s="13">
        <v>0</v>
      </c>
      <c r="L320" s="13">
        <v>9626.08</v>
      </c>
      <c r="M320" s="95">
        <v>9626.08</v>
      </c>
    </row>
    <row r="321" spans="1:13" ht="24.75" customHeight="1" x14ac:dyDescent="0.2">
      <c r="A321" s="94" t="s">
        <v>525</v>
      </c>
      <c r="B321" s="11" t="s">
        <v>526</v>
      </c>
      <c r="C321" s="12" t="s">
        <v>28</v>
      </c>
      <c r="D321" s="13">
        <v>563</v>
      </c>
      <c r="E321" s="13">
        <v>5.97</v>
      </c>
      <c r="F321" s="13">
        <v>7.38</v>
      </c>
      <c r="G321" s="13">
        <v>4154.9399999999996</v>
      </c>
      <c r="H321" s="13">
        <v>0</v>
      </c>
      <c r="I321" s="13">
        <v>563</v>
      </c>
      <c r="J321" s="13">
        <v>563</v>
      </c>
      <c r="K321" s="13">
        <v>0</v>
      </c>
      <c r="L321" s="13">
        <v>4154.9399999999996</v>
      </c>
      <c r="M321" s="95">
        <v>4154.9399999999996</v>
      </c>
    </row>
    <row r="322" spans="1:13" ht="24.75" customHeight="1" x14ac:dyDescent="0.2">
      <c r="A322" s="94" t="s">
        <v>527</v>
      </c>
      <c r="B322" s="11" t="s">
        <v>528</v>
      </c>
      <c r="C322" s="12" t="s">
        <v>28</v>
      </c>
      <c r="D322" s="13">
        <v>2</v>
      </c>
      <c r="E322" s="13">
        <v>52.65</v>
      </c>
      <c r="F322" s="13">
        <v>65.09</v>
      </c>
      <c r="G322" s="13">
        <v>130.18</v>
      </c>
      <c r="H322" s="13">
        <v>0</v>
      </c>
      <c r="I322" s="13">
        <v>2</v>
      </c>
      <c r="J322" s="13">
        <v>2</v>
      </c>
      <c r="K322" s="13">
        <v>0</v>
      </c>
      <c r="L322" s="13">
        <v>130.18</v>
      </c>
      <c r="M322" s="95">
        <v>130.18</v>
      </c>
    </row>
    <row r="323" spans="1:13" ht="24.75" customHeight="1" x14ac:dyDescent="0.2">
      <c r="A323" s="98" t="s">
        <v>1263</v>
      </c>
      <c r="B323" s="51" t="s">
        <v>1264</v>
      </c>
      <c r="C323" s="52" t="s">
        <v>28</v>
      </c>
      <c r="D323" s="13">
        <v>92</v>
      </c>
      <c r="E323" s="13"/>
      <c r="F323" s="13">
        <v>80.77</v>
      </c>
      <c r="G323" s="13">
        <v>7430.8399999999992</v>
      </c>
      <c r="H323" s="13">
        <v>0</v>
      </c>
      <c r="I323" s="13">
        <v>92</v>
      </c>
      <c r="J323" s="13">
        <v>92</v>
      </c>
      <c r="K323" s="13">
        <v>0</v>
      </c>
      <c r="L323" s="13">
        <v>7430.8399999999992</v>
      </c>
      <c r="M323" s="95">
        <v>7430.8399999999992</v>
      </c>
    </row>
    <row r="324" spans="1:13" ht="24.75" hidden="1" customHeight="1" x14ac:dyDescent="0.2">
      <c r="A324" s="98" t="s">
        <v>1265</v>
      </c>
      <c r="B324" s="51" t="s">
        <v>1266</v>
      </c>
      <c r="C324" s="52" t="s">
        <v>28</v>
      </c>
      <c r="D324" s="13">
        <v>2</v>
      </c>
      <c r="E324" s="13"/>
      <c r="F324" s="13">
        <v>2283.83</v>
      </c>
      <c r="G324" s="13">
        <v>4567.66</v>
      </c>
      <c r="H324" s="13">
        <v>0</v>
      </c>
      <c r="I324" s="13">
        <v>0</v>
      </c>
      <c r="J324" s="13">
        <v>0</v>
      </c>
      <c r="K324" s="13">
        <v>0</v>
      </c>
      <c r="L324" s="13">
        <v>0</v>
      </c>
      <c r="M324" s="95">
        <v>0</v>
      </c>
    </row>
    <row r="325" spans="1:13" ht="24.75" customHeight="1" x14ac:dyDescent="0.2">
      <c r="A325" s="98" t="s">
        <v>1267</v>
      </c>
      <c r="B325" s="51" t="s">
        <v>1268</v>
      </c>
      <c r="C325" s="52" t="s">
        <v>28</v>
      </c>
      <c r="D325" s="13">
        <v>2</v>
      </c>
      <c r="E325" s="13"/>
      <c r="F325" s="13">
        <v>21.9</v>
      </c>
      <c r="G325" s="13">
        <v>43.8</v>
      </c>
      <c r="H325" s="13">
        <v>0</v>
      </c>
      <c r="I325" s="13">
        <v>2</v>
      </c>
      <c r="J325" s="13">
        <v>2</v>
      </c>
      <c r="K325" s="13">
        <v>0</v>
      </c>
      <c r="L325" s="13">
        <v>43.8</v>
      </c>
      <c r="M325" s="95">
        <v>43.8</v>
      </c>
    </row>
    <row r="326" spans="1:13" ht="24.75" customHeight="1" x14ac:dyDescent="0.2">
      <c r="A326" s="98" t="s">
        <v>1269</v>
      </c>
      <c r="B326" s="51" t="s">
        <v>1270</v>
      </c>
      <c r="C326" s="52" t="s">
        <v>28</v>
      </c>
      <c r="D326" s="13">
        <v>13</v>
      </c>
      <c r="E326" s="13"/>
      <c r="F326" s="13">
        <v>73.180000000000007</v>
      </c>
      <c r="G326" s="13">
        <v>951.34000000000015</v>
      </c>
      <c r="H326" s="13">
        <v>0</v>
      </c>
      <c r="I326" s="13">
        <v>13</v>
      </c>
      <c r="J326" s="13">
        <v>13</v>
      </c>
      <c r="K326" s="13">
        <v>0</v>
      </c>
      <c r="L326" s="13">
        <v>951.34000000000015</v>
      </c>
      <c r="M326" s="95">
        <v>951.34000000000015</v>
      </c>
    </row>
    <row r="327" spans="1:13" ht="24.75" customHeight="1" x14ac:dyDescent="0.2">
      <c r="A327" s="96" t="s">
        <v>529</v>
      </c>
      <c r="B327" s="15" t="s">
        <v>530</v>
      </c>
      <c r="C327" s="15"/>
      <c r="D327" s="19"/>
      <c r="E327" s="18"/>
      <c r="F327" s="18"/>
      <c r="G327" s="19">
        <v>264154.8338186419</v>
      </c>
      <c r="H327" s="19"/>
      <c r="I327" s="18"/>
      <c r="J327" s="19"/>
      <c r="K327" s="19">
        <v>143836.20051453545</v>
      </c>
      <c r="L327" s="19">
        <v>108650.73633482454</v>
      </c>
      <c r="M327" s="97">
        <v>252486.93684936</v>
      </c>
    </row>
    <row r="328" spans="1:13" ht="24.75" hidden="1" customHeight="1" x14ac:dyDescent="0.2">
      <c r="A328" s="94" t="s">
        <v>531</v>
      </c>
      <c r="B328" s="11" t="s">
        <v>532</v>
      </c>
      <c r="C328" s="12" t="s">
        <v>46</v>
      </c>
      <c r="D328" s="13">
        <v>90.6</v>
      </c>
      <c r="E328" s="13">
        <v>38.862104999999993</v>
      </c>
      <c r="F328" s="13">
        <v>48.04522041149999</v>
      </c>
      <c r="G328" s="13">
        <v>4352.8969692818991</v>
      </c>
      <c r="H328" s="13">
        <v>0</v>
      </c>
      <c r="I328" s="13">
        <v>0</v>
      </c>
      <c r="J328" s="13">
        <v>0</v>
      </c>
      <c r="K328" s="13">
        <v>0</v>
      </c>
      <c r="L328" s="13">
        <v>0</v>
      </c>
      <c r="M328" s="95">
        <v>0</v>
      </c>
    </row>
    <row r="329" spans="1:13" ht="24.75" hidden="1" customHeight="1" x14ac:dyDescent="0.2">
      <c r="A329" s="94" t="s">
        <v>533</v>
      </c>
      <c r="B329" s="11" t="s">
        <v>534</v>
      </c>
      <c r="C329" s="12" t="s">
        <v>46</v>
      </c>
      <c r="D329" s="13">
        <v>0</v>
      </c>
      <c r="E329" s="13">
        <v>53.746579999999987</v>
      </c>
      <c r="F329" s="13">
        <v>66.446896853999988</v>
      </c>
      <c r="G329" s="13">
        <v>0</v>
      </c>
      <c r="H329" s="13">
        <v>0</v>
      </c>
      <c r="I329" s="13">
        <v>0</v>
      </c>
      <c r="J329" s="13">
        <v>0</v>
      </c>
      <c r="K329" s="13">
        <v>0</v>
      </c>
      <c r="L329" s="13">
        <v>0</v>
      </c>
      <c r="M329" s="95">
        <v>0</v>
      </c>
    </row>
    <row r="330" spans="1:13" ht="24.75" customHeight="1" x14ac:dyDescent="0.2">
      <c r="A330" s="94" t="s">
        <v>535</v>
      </c>
      <c r="B330" s="11" t="s">
        <v>536</v>
      </c>
      <c r="C330" s="12" t="s">
        <v>46</v>
      </c>
      <c r="D330" s="13">
        <v>700</v>
      </c>
      <c r="E330" s="13">
        <v>69.454714999999993</v>
      </c>
      <c r="F330" s="13">
        <v>85.866864154499993</v>
      </c>
      <c r="G330" s="13">
        <v>60106.804908149992</v>
      </c>
      <c r="H330" s="13">
        <v>42.3</v>
      </c>
      <c r="I330" s="13">
        <v>657.7</v>
      </c>
      <c r="J330" s="13">
        <v>700</v>
      </c>
      <c r="K330" s="13">
        <v>3632.1683537353492</v>
      </c>
      <c r="L330" s="13">
        <v>56474.636554414647</v>
      </c>
      <c r="M330" s="95">
        <v>60106.804908149992</v>
      </c>
    </row>
    <row r="331" spans="1:13" ht="24.75" customHeight="1" x14ac:dyDescent="0.2">
      <c r="A331" s="94" t="s">
        <v>537</v>
      </c>
      <c r="B331" s="11" t="s">
        <v>538</v>
      </c>
      <c r="C331" s="12" t="s">
        <v>46</v>
      </c>
      <c r="D331" s="13">
        <v>930</v>
      </c>
      <c r="E331" s="13">
        <v>90.193189999999987</v>
      </c>
      <c r="F331" s="13">
        <v>111.50584079699999</v>
      </c>
      <c r="G331" s="13">
        <v>103700.43194120999</v>
      </c>
      <c r="H331" s="13">
        <v>613.29999999999995</v>
      </c>
      <c r="I331" s="13">
        <v>316.7</v>
      </c>
      <c r="J331" s="13">
        <v>930</v>
      </c>
      <c r="K331" s="13">
        <v>68386.532160800096</v>
      </c>
      <c r="L331" s="13">
        <v>35313.899780409898</v>
      </c>
      <c r="M331" s="95">
        <v>103700.43194120999</v>
      </c>
    </row>
    <row r="332" spans="1:13" ht="24.75" hidden="1" customHeight="1" x14ac:dyDescent="0.2">
      <c r="A332" s="94" t="s">
        <v>539</v>
      </c>
      <c r="B332" s="11" t="s">
        <v>540</v>
      </c>
      <c r="C332" s="12" t="s">
        <v>46</v>
      </c>
      <c r="D332" s="13">
        <v>0</v>
      </c>
      <c r="E332" s="13">
        <v>133.68797999999998</v>
      </c>
      <c r="F332" s="13">
        <v>165.27844967399997</v>
      </c>
      <c r="G332" s="13">
        <v>0</v>
      </c>
      <c r="H332" s="13">
        <v>0</v>
      </c>
      <c r="I332" s="13">
        <v>0</v>
      </c>
      <c r="J332" s="13">
        <v>0</v>
      </c>
      <c r="K332" s="13">
        <v>0</v>
      </c>
      <c r="L332" s="13">
        <v>0</v>
      </c>
      <c r="M332" s="95">
        <v>0</v>
      </c>
    </row>
    <row r="333" spans="1:13" ht="24.75" hidden="1" customHeight="1" x14ac:dyDescent="0.2">
      <c r="A333" s="94" t="s">
        <v>541</v>
      </c>
      <c r="B333" s="11" t="s">
        <v>542</v>
      </c>
      <c r="C333" s="12" t="s">
        <v>46</v>
      </c>
      <c r="D333" s="13">
        <v>0</v>
      </c>
      <c r="E333" s="13">
        <v>176.94013299999995</v>
      </c>
      <c r="F333" s="13">
        <v>218.75108642789993</v>
      </c>
      <c r="G333" s="13">
        <v>0</v>
      </c>
      <c r="H333" s="13">
        <v>0</v>
      </c>
      <c r="I333" s="13">
        <v>0</v>
      </c>
      <c r="J333" s="13">
        <v>0</v>
      </c>
      <c r="K333" s="13">
        <v>0</v>
      </c>
      <c r="L333" s="13">
        <v>0</v>
      </c>
      <c r="M333" s="95">
        <v>0</v>
      </c>
    </row>
    <row r="334" spans="1:13" ht="24.75" hidden="1" customHeight="1" x14ac:dyDescent="0.2">
      <c r="A334" s="94" t="s">
        <v>543</v>
      </c>
      <c r="B334" s="11" t="s">
        <v>544</v>
      </c>
      <c r="C334" s="12" t="s">
        <v>46</v>
      </c>
      <c r="D334" s="13">
        <v>0</v>
      </c>
      <c r="E334" s="13">
        <v>228.71202099999994</v>
      </c>
      <c r="F334" s="13">
        <v>282.75667156229991</v>
      </c>
      <c r="G334" s="13">
        <v>0</v>
      </c>
      <c r="H334" s="13">
        <v>0</v>
      </c>
      <c r="I334" s="13">
        <v>0</v>
      </c>
      <c r="J334" s="13">
        <v>0</v>
      </c>
      <c r="K334" s="13">
        <v>0</v>
      </c>
      <c r="L334" s="13">
        <v>0</v>
      </c>
      <c r="M334" s="95">
        <v>0</v>
      </c>
    </row>
    <row r="335" spans="1:13" ht="24.75" hidden="1" customHeight="1" x14ac:dyDescent="0.2">
      <c r="A335" s="98" t="s">
        <v>1271</v>
      </c>
      <c r="B335" s="51" t="s">
        <v>595</v>
      </c>
      <c r="C335" s="52" t="s">
        <v>46</v>
      </c>
      <c r="D335" s="13">
        <v>100</v>
      </c>
      <c r="E335" s="13"/>
      <c r="F335" s="13">
        <v>73.150000000000006</v>
      </c>
      <c r="G335" s="13">
        <v>7315.0000000000009</v>
      </c>
      <c r="H335" s="13">
        <v>0</v>
      </c>
      <c r="I335" s="13">
        <v>0</v>
      </c>
      <c r="J335" s="13">
        <v>0</v>
      </c>
      <c r="K335" s="13">
        <v>0</v>
      </c>
      <c r="L335" s="13">
        <v>0</v>
      </c>
      <c r="M335" s="95">
        <v>0</v>
      </c>
    </row>
    <row r="336" spans="1:13" ht="24.75" customHeight="1" x14ac:dyDescent="0.2">
      <c r="A336" s="98" t="s">
        <v>1272</v>
      </c>
      <c r="B336" s="51" t="s">
        <v>1273</v>
      </c>
      <c r="C336" s="52" t="s">
        <v>46</v>
      </c>
      <c r="D336" s="13">
        <v>4000</v>
      </c>
      <c r="E336" s="13"/>
      <c r="F336" s="13">
        <v>10.050000000000001</v>
      </c>
      <c r="G336" s="13">
        <v>40200</v>
      </c>
      <c r="H336" s="13">
        <v>4000</v>
      </c>
      <c r="I336" s="13">
        <v>0</v>
      </c>
      <c r="J336" s="13">
        <v>4000</v>
      </c>
      <c r="K336" s="13">
        <v>40200</v>
      </c>
      <c r="L336" s="13">
        <v>0</v>
      </c>
      <c r="M336" s="95">
        <v>40200</v>
      </c>
    </row>
    <row r="337" spans="1:13" ht="24.75" customHeight="1" x14ac:dyDescent="0.2">
      <c r="A337" s="98" t="s">
        <v>1274</v>
      </c>
      <c r="B337" s="51" t="s">
        <v>1275</v>
      </c>
      <c r="C337" s="52" t="s">
        <v>46</v>
      </c>
      <c r="D337" s="13">
        <v>1250</v>
      </c>
      <c r="E337" s="13"/>
      <c r="F337" s="13">
        <v>16.149999999999999</v>
      </c>
      <c r="G337" s="13">
        <v>20187.5</v>
      </c>
      <c r="H337" s="13">
        <v>1250</v>
      </c>
      <c r="I337" s="13">
        <v>0</v>
      </c>
      <c r="J337" s="13">
        <v>1250</v>
      </c>
      <c r="K337" s="13">
        <v>20187.5</v>
      </c>
      <c r="L337" s="13">
        <v>0</v>
      </c>
      <c r="M337" s="95">
        <v>20187.5</v>
      </c>
    </row>
    <row r="338" spans="1:13" ht="36" customHeight="1" x14ac:dyDescent="0.2">
      <c r="A338" s="98" t="s">
        <v>1276</v>
      </c>
      <c r="B338" s="51" t="s">
        <v>1277</v>
      </c>
      <c r="C338" s="52" t="s">
        <v>46</v>
      </c>
      <c r="D338" s="13">
        <v>450</v>
      </c>
      <c r="E338" s="13"/>
      <c r="F338" s="13">
        <v>25.4</v>
      </c>
      <c r="G338" s="13">
        <v>11430</v>
      </c>
      <c r="H338" s="13">
        <v>450</v>
      </c>
      <c r="I338" s="13">
        <v>0</v>
      </c>
      <c r="J338" s="13">
        <v>450</v>
      </c>
      <c r="K338" s="13">
        <v>11430</v>
      </c>
      <c r="L338" s="13">
        <v>0</v>
      </c>
      <c r="M338" s="95">
        <v>11430</v>
      </c>
    </row>
    <row r="339" spans="1:13" ht="42.75" customHeight="1" x14ac:dyDescent="0.2">
      <c r="A339" s="98" t="s">
        <v>1278</v>
      </c>
      <c r="B339" s="51" t="s">
        <v>1279</v>
      </c>
      <c r="C339" s="52" t="s">
        <v>46</v>
      </c>
      <c r="D339" s="13">
        <v>590</v>
      </c>
      <c r="E339" s="13"/>
      <c r="F339" s="13">
        <v>28.58</v>
      </c>
      <c r="G339" s="13">
        <v>16862.2</v>
      </c>
      <c r="H339" s="13">
        <v>0</v>
      </c>
      <c r="I339" s="13">
        <v>590</v>
      </c>
      <c r="J339" s="13">
        <v>590</v>
      </c>
      <c r="K339" s="13">
        <v>0</v>
      </c>
      <c r="L339" s="13">
        <v>16862.2</v>
      </c>
      <c r="M339" s="95">
        <v>16862.2</v>
      </c>
    </row>
    <row r="340" spans="1:13" ht="24.75" hidden="1" customHeight="1" x14ac:dyDescent="0.2">
      <c r="A340" s="96" t="s">
        <v>545</v>
      </c>
      <c r="B340" s="15" t="s">
        <v>546</v>
      </c>
      <c r="C340" s="15"/>
      <c r="D340" s="19"/>
      <c r="E340" s="18"/>
      <c r="F340" s="18"/>
      <c r="G340" s="19">
        <v>81655.141988072981</v>
      </c>
      <c r="H340" s="19"/>
      <c r="I340" s="18"/>
      <c r="J340" s="19"/>
      <c r="K340" s="19">
        <v>0</v>
      </c>
      <c r="L340" s="19">
        <v>0</v>
      </c>
      <c r="M340" s="97">
        <v>0</v>
      </c>
    </row>
    <row r="341" spans="1:13" ht="24.75" hidden="1" customHeight="1" x14ac:dyDescent="0.2">
      <c r="A341" s="94" t="s">
        <v>547</v>
      </c>
      <c r="B341" s="11" t="s">
        <v>548</v>
      </c>
      <c r="C341" s="12" t="s">
        <v>28</v>
      </c>
      <c r="D341" s="13">
        <v>678</v>
      </c>
      <c r="E341" s="13">
        <v>79.560444999999987</v>
      </c>
      <c r="F341" s="13">
        <v>98.360578153499986</v>
      </c>
      <c r="G341" s="13">
        <v>66688.471988072997</v>
      </c>
      <c r="H341" s="13">
        <v>0</v>
      </c>
      <c r="I341" s="13">
        <v>0</v>
      </c>
      <c r="J341" s="13">
        <v>0</v>
      </c>
      <c r="K341" s="13">
        <v>0</v>
      </c>
      <c r="L341" s="13">
        <v>0</v>
      </c>
      <c r="M341" s="95">
        <v>0</v>
      </c>
    </row>
    <row r="342" spans="1:13" ht="24.75" hidden="1" customHeight="1" x14ac:dyDescent="0.2">
      <c r="A342" s="94" t="s">
        <v>549</v>
      </c>
      <c r="B342" s="11" t="s">
        <v>550</v>
      </c>
      <c r="C342" s="12" t="s">
        <v>28</v>
      </c>
      <c r="D342" s="13">
        <v>12</v>
      </c>
      <c r="E342" s="13">
        <v>92.62</v>
      </c>
      <c r="F342" s="13">
        <v>114.5</v>
      </c>
      <c r="G342" s="13">
        <v>1374</v>
      </c>
      <c r="H342" s="13">
        <v>0</v>
      </c>
      <c r="I342" s="13">
        <v>0</v>
      </c>
      <c r="J342" s="13">
        <v>0</v>
      </c>
      <c r="K342" s="13">
        <v>0</v>
      </c>
      <c r="L342" s="13">
        <v>0</v>
      </c>
      <c r="M342" s="95">
        <v>0</v>
      </c>
    </row>
    <row r="343" spans="1:13" ht="24.75" hidden="1" customHeight="1" x14ac:dyDescent="0.2">
      <c r="A343" s="94" t="s">
        <v>551</v>
      </c>
      <c r="B343" s="11" t="s">
        <v>550</v>
      </c>
      <c r="C343" s="12" t="s">
        <v>28</v>
      </c>
      <c r="D343" s="13">
        <v>55</v>
      </c>
      <c r="E343" s="13">
        <v>92.62</v>
      </c>
      <c r="F343" s="13">
        <v>114.5</v>
      </c>
      <c r="G343" s="13">
        <v>6297.5</v>
      </c>
      <c r="H343" s="13">
        <v>0</v>
      </c>
      <c r="I343" s="13">
        <v>0</v>
      </c>
      <c r="J343" s="13">
        <v>0</v>
      </c>
      <c r="K343" s="13">
        <v>0</v>
      </c>
      <c r="L343" s="13">
        <v>0</v>
      </c>
      <c r="M343" s="95">
        <v>0</v>
      </c>
    </row>
    <row r="344" spans="1:13" ht="24.75" hidden="1" customHeight="1" x14ac:dyDescent="0.2">
      <c r="A344" s="94" t="s">
        <v>552</v>
      </c>
      <c r="B344" s="11" t="s">
        <v>553</v>
      </c>
      <c r="C344" s="12" t="s">
        <v>28</v>
      </c>
      <c r="D344" s="13">
        <v>3</v>
      </c>
      <c r="E344" s="13">
        <v>121.97</v>
      </c>
      <c r="F344" s="13">
        <v>150.79</v>
      </c>
      <c r="G344" s="13">
        <v>452.37</v>
      </c>
      <c r="H344" s="13">
        <v>0</v>
      </c>
      <c r="I344" s="13">
        <v>0</v>
      </c>
      <c r="J344" s="13">
        <v>0</v>
      </c>
      <c r="K344" s="13">
        <v>0</v>
      </c>
      <c r="L344" s="13">
        <v>0</v>
      </c>
      <c r="M344" s="95">
        <v>0</v>
      </c>
    </row>
    <row r="345" spans="1:13" ht="24.75" hidden="1" customHeight="1" x14ac:dyDescent="0.2">
      <c r="A345" s="94" t="s">
        <v>554</v>
      </c>
      <c r="B345" s="11" t="s">
        <v>555</v>
      </c>
      <c r="C345" s="12" t="s">
        <v>28</v>
      </c>
      <c r="D345" s="13">
        <v>13</v>
      </c>
      <c r="E345" s="13">
        <v>101.31</v>
      </c>
      <c r="F345" s="13">
        <v>125.24</v>
      </c>
      <c r="G345" s="13">
        <v>1628.12</v>
      </c>
      <c r="H345" s="13">
        <v>0</v>
      </c>
      <c r="I345" s="13">
        <v>0</v>
      </c>
      <c r="J345" s="13">
        <v>0</v>
      </c>
      <c r="K345" s="13">
        <v>0</v>
      </c>
      <c r="L345" s="13">
        <v>0</v>
      </c>
      <c r="M345" s="95">
        <v>0</v>
      </c>
    </row>
    <row r="346" spans="1:13" ht="24.75" hidden="1" customHeight="1" x14ac:dyDescent="0.2">
      <c r="A346" s="94" t="s">
        <v>556</v>
      </c>
      <c r="B346" s="11" t="s">
        <v>557</v>
      </c>
      <c r="C346" s="12" t="s">
        <v>28</v>
      </c>
      <c r="D346" s="13">
        <v>80</v>
      </c>
      <c r="E346" s="13">
        <v>37.700000000000003</v>
      </c>
      <c r="F346" s="13">
        <v>46.6</v>
      </c>
      <c r="G346" s="13">
        <v>3728</v>
      </c>
      <c r="H346" s="13">
        <v>0</v>
      </c>
      <c r="I346" s="13">
        <v>0</v>
      </c>
      <c r="J346" s="13">
        <v>0</v>
      </c>
      <c r="K346" s="13">
        <v>0</v>
      </c>
      <c r="L346" s="13">
        <v>0</v>
      </c>
      <c r="M346" s="95">
        <v>0</v>
      </c>
    </row>
    <row r="347" spans="1:13" ht="24.75" hidden="1" customHeight="1" x14ac:dyDescent="0.2">
      <c r="A347" s="94" t="s">
        <v>558</v>
      </c>
      <c r="B347" s="11" t="s">
        <v>559</v>
      </c>
      <c r="C347" s="12" t="s">
        <v>28</v>
      </c>
      <c r="D347" s="13">
        <v>4</v>
      </c>
      <c r="E347" s="13">
        <v>35.020000000000003</v>
      </c>
      <c r="F347" s="13">
        <v>43.29</v>
      </c>
      <c r="G347" s="13">
        <v>173.16</v>
      </c>
      <c r="H347" s="13">
        <v>0</v>
      </c>
      <c r="I347" s="13">
        <v>0</v>
      </c>
      <c r="J347" s="13">
        <v>0</v>
      </c>
      <c r="K347" s="13">
        <v>0</v>
      </c>
      <c r="L347" s="13">
        <v>0</v>
      </c>
      <c r="M347" s="95">
        <v>0</v>
      </c>
    </row>
    <row r="348" spans="1:13" ht="24.75" hidden="1" customHeight="1" x14ac:dyDescent="0.2">
      <c r="A348" s="94" t="s">
        <v>560</v>
      </c>
      <c r="B348" s="11" t="s">
        <v>561</v>
      </c>
      <c r="C348" s="12" t="s">
        <v>28</v>
      </c>
      <c r="D348" s="13">
        <v>28</v>
      </c>
      <c r="E348" s="13">
        <v>25.14</v>
      </c>
      <c r="F348" s="13">
        <v>31.08</v>
      </c>
      <c r="G348" s="13">
        <v>870.24</v>
      </c>
      <c r="H348" s="13">
        <v>0</v>
      </c>
      <c r="I348" s="13">
        <v>0</v>
      </c>
      <c r="J348" s="13">
        <v>0</v>
      </c>
      <c r="K348" s="13">
        <v>0</v>
      </c>
      <c r="L348" s="13">
        <v>0</v>
      </c>
      <c r="M348" s="95">
        <v>0</v>
      </c>
    </row>
    <row r="349" spans="1:13" ht="24.75" hidden="1" customHeight="1" x14ac:dyDescent="0.2">
      <c r="A349" s="94" t="s">
        <v>562</v>
      </c>
      <c r="B349" s="11" t="s">
        <v>563</v>
      </c>
      <c r="C349" s="12" t="s">
        <v>28</v>
      </c>
      <c r="D349" s="13">
        <v>4</v>
      </c>
      <c r="E349" s="13">
        <v>63.84</v>
      </c>
      <c r="F349" s="13">
        <v>78.92</v>
      </c>
      <c r="G349" s="13">
        <v>315.68</v>
      </c>
      <c r="H349" s="13">
        <v>0</v>
      </c>
      <c r="I349" s="13">
        <v>0</v>
      </c>
      <c r="J349" s="13">
        <v>0</v>
      </c>
      <c r="K349" s="13">
        <v>0</v>
      </c>
      <c r="L349" s="13">
        <v>0</v>
      </c>
      <c r="M349" s="95">
        <v>0</v>
      </c>
    </row>
    <row r="350" spans="1:13" ht="24.75" hidden="1" customHeight="1" x14ac:dyDescent="0.2">
      <c r="A350" s="94" t="s">
        <v>564</v>
      </c>
      <c r="B350" s="11" t="s">
        <v>565</v>
      </c>
      <c r="C350" s="12" t="s">
        <v>46</v>
      </c>
      <c r="D350" s="13">
        <v>60</v>
      </c>
      <c r="E350" s="13">
        <v>1.1399999999999999</v>
      </c>
      <c r="F350" s="13">
        <v>1.32</v>
      </c>
      <c r="G350" s="13">
        <v>79.2</v>
      </c>
      <c r="H350" s="13">
        <v>0</v>
      </c>
      <c r="I350" s="13">
        <v>0</v>
      </c>
      <c r="J350" s="13">
        <v>0</v>
      </c>
      <c r="K350" s="13">
        <v>0</v>
      </c>
      <c r="L350" s="13">
        <v>0</v>
      </c>
      <c r="M350" s="95">
        <v>0</v>
      </c>
    </row>
    <row r="351" spans="1:13" ht="24.75" hidden="1" customHeight="1" x14ac:dyDescent="0.2">
      <c r="A351" s="94" t="s">
        <v>566</v>
      </c>
      <c r="B351" s="11" t="s">
        <v>567</v>
      </c>
      <c r="C351" s="12" t="s">
        <v>28</v>
      </c>
      <c r="D351" s="13">
        <v>5</v>
      </c>
      <c r="E351" s="13">
        <v>8.3699999999999992</v>
      </c>
      <c r="F351" s="13">
        <v>9.68</v>
      </c>
      <c r="G351" s="13">
        <v>48.4</v>
      </c>
      <c r="H351" s="13">
        <v>0</v>
      </c>
      <c r="I351" s="13">
        <v>0</v>
      </c>
      <c r="J351" s="13">
        <v>0</v>
      </c>
      <c r="K351" s="13">
        <v>0</v>
      </c>
      <c r="L351" s="13">
        <v>0</v>
      </c>
      <c r="M351" s="95">
        <v>0</v>
      </c>
    </row>
    <row r="352" spans="1:13" ht="24.75" customHeight="1" x14ac:dyDescent="0.2">
      <c r="A352" s="96" t="s">
        <v>568</v>
      </c>
      <c r="B352" s="15" t="s">
        <v>569</v>
      </c>
      <c r="C352" s="15"/>
      <c r="D352" s="19"/>
      <c r="E352" s="18"/>
      <c r="F352" s="18"/>
      <c r="G352" s="19">
        <v>60748.027976359997</v>
      </c>
      <c r="H352" s="19"/>
      <c r="I352" s="18"/>
      <c r="J352" s="19"/>
      <c r="K352" s="19">
        <v>52663.389143039996</v>
      </c>
      <c r="L352" s="19">
        <v>0</v>
      </c>
      <c r="M352" s="97">
        <v>52663.389143039996</v>
      </c>
    </row>
    <row r="353" spans="1:13" ht="24.75" hidden="1" customHeight="1" x14ac:dyDescent="0.2">
      <c r="A353" s="94" t="s">
        <v>570</v>
      </c>
      <c r="B353" s="11" t="s">
        <v>571</v>
      </c>
      <c r="C353" s="12" t="s">
        <v>28</v>
      </c>
      <c r="D353" s="13">
        <v>1</v>
      </c>
      <c r="E353" s="13">
        <v>2242.6764000000003</v>
      </c>
      <c r="F353" s="13">
        <v>2772.6208333200002</v>
      </c>
      <c r="G353" s="13">
        <v>2772.6208333200002</v>
      </c>
      <c r="H353" s="13">
        <v>0</v>
      </c>
      <c r="I353" s="13">
        <v>0</v>
      </c>
      <c r="J353" s="13">
        <v>0</v>
      </c>
      <c r="K353" s="13">
        <v>0</v>
      </c>
      <c r="L353" s="13">
        <v>0</v>
      </c>
      <c r="M353" s="95">
        <v>0</v>
      </c>
    </row>
    <row r="354" spans="1:13" ht="24.75" hidden="1" customHeight="1" x14ac:dyDescent="0.2">
      <c r="A354" s="94" t="s">
        <v>572</v>
      </c>
      <c r="B354" s="11" t="s">
        <v>573</v>
      </c>
      <c r="C354" s="12" t="s">
        <v>28</v>
      </c>
      <c r="D354" s="13">
        <v>1</v>
      </c>
      <c r="E354" s="13">
        <v>507.29</v>
      </c>
      <c r="F354" s="13">
        <v>627.16</v>
      </c>
      <c r="G354" s="13">
        <v>627.16</v>
      </c>
      <c r="H354" s="13">
        <v>0</v>
      </c>
      <c r="I354" s="13">
        <v>0</v>
      </c>
      <c r="J354" s="13">
        <v>0</v>
      </c>
      <c r="K354" s="13">
        <v>0</v>
      </c>
      <c r="L354" s="13">
        <v>0</v>
      </c>
      <c r="M354" s="95">
        <v>0</v>
      </c>
    </row>
    <row r="355" spans="1:13" ht="24.75" hidden="1" customHeight="1" x14ac:dyDescent="0.2">
      <c r="A355" s="94" t="s">
        <v>574</v>
      </c>
      <c r="B355" s="11" t="s">
        <v>575</v>
      </c>
      <c r="C355" s="12" t="s">
        <v>28</v>
      </c>
      <c r="D355" s="13">
        <v>1</v>
      </c>
      <c r="E355" s="13">
        <v>1255.7216600000002</v>
      </c>
      <c r="F355" s="13">
        <v>1452.74</v>
      </c>
      <c r="G355" s="13">
        <v>1452.74</v>
      </c>
      <c r="H355" s="13">
        <v>0</v>
      </c>
      <c r="I355" s="13">
        <v>0</v>
      </c>
      <c r="J355" s="13">
        <v>0</v>
      </c>
      <c r="K355" s="13">
        <v>0</v>
      </c>
      <c r="L355" s="13">
        <v>0</v>
      </c>
      <c r="M355" s="95">
        <v>0</v>
      </c>
    </row>
    <row r="356" spans="1:13" ht="45" customHeight="1" x14ac:dyDescent="0.2">
      <c r="A356" s="94" t="s">
        <v>576</v>
      </c>
      <c r="B356" s="11" t="s">
        <v>577</v>
      </c>
      <c r="C356" s="12" t="s">
        <v>28</v>
      </c>
      <c r="D356" s="13">
        <v>1</v>
      </c>
      <c r="E356" s="13">
        <v>42597.580799999996</v>
      </c>
      <c r="F356" s="13">
        <v>52663.389143039996</v>
      </c>
      <c r="G356" s="13">
        <v>52663.389143039996</v>
      </c>
      <c r="H356" s="13">
        <v>1</v>
      </c>
      <c r="I356" s="13">
        <v>0</v>
      </c>
      <c r="J356" s="13">
        <v>1</v>
      </c>
      <c r="K356" s="13">
        <v>52663.389143039996</v>
      </c>
      <c r="L356" s="13">
        <v>0</v>
      </c>
      <c r="M356" s="95">
        <v>52663.389143039996</v>
      </c>
    </row>
    <row r="357" spans="1:13" ht="24.75" hidden="1" customHeight="1" x14ac:dyDescent="0.2">
      <c r="A357" s="94" t="s">
        <v>578</v>
      </c>
      <c r="B357" s="11" t="s">
        <v>579</v>
      </c>
      <c r="C357" s="12" t="s">
        <v>28</v>
      </c>
      <c r="D357" s="13">
        <v>3</v>
      </c>
      <c r="E357" s="13">
        <v>71.73</v>
      </c>
      <c r="F357" s="13">
        <v>88.67</v>
      </c>
      <c r="G357" s="13">
        <v>266.01</v>
      </c>
      <c r="H357" s="13">
        <v>0</v>
      </c>
      <c r="I357" s="13">
        <v>0</v>
      </c>
      <c r="J357" s="13">
        <v>0</v>
      </c>
      <c r="K357" s="13">
        <v>0</v>
      </c>
      <c r="L357" s="13">
        <v>0</v>
      </c>
      <c r="M357" s="95">
        <v>0</v>
      </c>
    </row>
    <row r="358" spans="1:13" ht="24.75" hidden="1" customHeight="1" x14ac:dyDescent="0.2">
      <c r="A358" s="94" t="s">
        <v>580</v>
      </c>
      <c r="B358" s="11" t="s">
        <v>581</v>
      </c>
      <c r="C358" s="12" t="s">
        <v>28</v>
      </c>
      <c r="D358" s="13">
        <v>1</v>
      </c>
      <c r="E358" s="13">
        <v>12.12</v>
      </c>
      <c r="F358" s="13">
        <v>14.98</v>
      </c>
      <c r="G358" s="13">
        <v>14.98</v>
      </c>
      <c r="H358" s="13">
        <v>0</v>
      </c>
      <c r="I358" s="13">
        <v>0</v>
      </c>
      <c r="J358" s="13">
        <v>0</v>
      </c>
      <c r="K358" s="13">
        <v>0</v>
      </c>
      <c r="L358" s="13">
        <v>0</v>
      </c>
      <c r="M358" s="95">
        <v>0</v>
      </c>
    </row>
    <row r="359" spans="1:13" ht="24.75" hidden="1" customHeight="1" x14ac:dyDescent="0.2">
      <c r="A359" s="94" t="s">
        <v>582</v>
      </c>
      <c r="B359" s="11" t="s">
        <v>583</v>
      </c>
      <c r="C359" s="12" t="s">
        <v>28</v>
      </c>
      <c r="D359" s="13">
        <v>1</v>
      </c>
      <c r="E359" s="13">
        <v>2272.9499999999998</v>
      </c>
      <c r="F359" s="13">
        <v>2629.58</v>
      </c>
      <c r="G359" s="13">
        <v>2629.58</v>
      </c>
      <c r="H359" s="13">
        <v>0</v>
      </c>
      <c r="I359" s="13">
        <v>0</v>
      </c>
      <c r="J359" s="13">
        <v>0</v>
      </c>
      <c r="K359" s="13">
        <v>0</v>
      </c>
      <c r="L359" s="13">
        <v>0</v>
      </c>
      <c r="M359" s="95">
        <v>0</v>
      </c>
    </row>
    <row r="360" spans="1:13" ht="24.75" hidden="1" customHeight="1" x14ac:dyDescent="0.2">
      <c r="A360" s="94" t="s">
        <v>584</v>
      </c>
      <c r="B360" s="11" t="s">
        <v>585</v>
      </c>
      <c r="C360" s="12" t="s">
        <v>28</v>
      </c>
      <c r="D360" s="13">
        <v>10</v>
      </c>
      <c r="E360" s="13">
        <v>5.22</v>
      </c>
      <c r="F360" s="13">
        <v>6.04</v>
      </c>
      <c r="G360" s="13">
        <v>60.4</v>
      </c>
      <c r="H360" s="13">
        <v>0</v>
      </c>
      <c r="I360" s="13">
        <v>0</v>
      </c>
      <c r="J360" s="13">
        <v>0</v>
      </c>
      <c r="K360" s="13">
        <v>0</v>
      </c>
      <c r="L360" s="13">
        <v>0</v>
      </c>
      <c r="M360" s="95">
        <v>0</v>
      </c>
    </row>
    <row r="361" spans="1:13" ht="24.75" hidden="1" customHeight="1" x14ac:dyDescent="0.2">
      <c r="A361" s="94" t="s">
        <v>586</v>
      </c>
      <c r="B361" s="11" t="s">
        <v>587</v>
      </c>
      <c r="C361" s="12" t="s">
        <v>28</v>
      </c>
      <c r="D361" s="13">
        <v>10</v>
      </c>
      <c r="E361" s="13">
        <v>6.5</v>
      </c>
      <c r="F361" s="13">
        <v>7.52</v>
      </c>
      <c r="G361" s="13">
        <v>75.199999999999989</v>
      </c>
      <c r="H361" s="13">
        <v>0</v>
      </c>
      <c r="I361" s="13">
        <v>0</v>
      </c>
      <c r="J361" s="13">
        <v>0</v>
      </c>
      <c r="K361" s="13">
        <v>0</v>
      </c>
      <c r="L361" s="13">
        <v>0</v>
      </c>
      <c r="M361" s="95">
        <v>0</v>
      </c>
    </row>
    <row r="362" spans="1:13" ht="24.75" hidden="1" customHeight="1" x14ac:dyDescent="0.2">
      <c r="A362" s="94" t="s">
        <v>588</v>
      </c>
      <c r="B362" s="11" t="s">
        <v>589</v>
      </c>
      <c r="C362" s="12" t="s">
        <v>28</v>
      </c>
      <c r="D362" s="13">
        <v>0.1</v>
      </c>
      <c r="E362" s="13">
        <v>90.31</v>
      </c>
      <c r="F362" s="13">
        <v>104.48</v>
      </c>
      <c r="G362" s="13">
        <v>10.448</v>
      </c>
      <c r="H362" s="13">
        <v>0</v>
      </c>
      <c r="I362" s="13">
        <v>0</v>
      </c>
      <c r="J362" s="13">
        <v>0</v>
      </c>
      <c r="K362" s="13">
        <v>0</v>
      </c>
      <c r="L362" s="13">
        <v>0</v>
      </c>
      <c r="M362" s="95">
        <v>0</v>
      </c>
    </row>
    <row r="363" spans="1:13" ht="24.75" hidden="1" customHeight="1" x14ac:dyDescent="0.2">
      <c r="A363" s="94" t="s">
        <v>590</v>
      </c>
      <c r="B363" s="11" t="s">
        <v>591</v>
      </c>
      <c r="C363" s="12" t="s">
        <v>28</v>
      </c>
      <c r="D363" s="13">
        <v>10</v>
      </c>
      <c r="E363" s="13">
        <v>14.2</v>
      </c>
      <c r="F363" s="13">
        <v>17.55</v>
      </c>
      <c r="G363" s="13">
        <v>175.5</v>
      </c>
      <c r="H363" s="13">
        <v>0</v>
      </c>
      <c r="I363" s="13">
        <v>0</v>
      </c>
      <c r="J363" s="13">
        <v>0</v>
      </c>
      <c r="K363" s="13">
        <v>0</v>
      </c>
      <c r="L363" s="13">
        <v>0</v>
      </c>
      <c r="M363" s="95">
        <v>0</v>
      </c>
    </row>
    <row r="364" spans="1:13" ht="24.75" hidden="1" customHeight="1" x14ac:dyDescent="0.2">
      <c r="A364" s="96" t="s">
        <v>592</v>
      </c>
      <c r="B364" s="15" t="s">
        <v>593</v>
      </c>
      <c r="C364" s="15"/>
      <c r="D364" s="19"/>
      <c r="E364" s="18"/>
      <c r="F364" s="18"/>
      <c r="G364" s="19">
        <v>21635.233175100002</v>
      </c>
      <c r="H364" s="19"/>
      <c r="I364" s="18"/>
      <c r="J364" s="19"/>
      <c r="K364" s="19">
        <v>0</v>
      </c>
      <c r="L364" s="19">
        <v>0</v>
      </c>
      <c r="M364" s="19">
        <v>0</v>
      </c>
    </row>
    <row r="365" spans="1:13" ht="24.75" hidden="1" customHeight="1" x14ac:dyDescent="0.2">
      <c r="A365" s="94" t="s">
        <v>594</v>
      </c>
      <c r="B365" s="11" t="s">
        <v>595</v>
      </c>
      <c r="C365" s="12" t="s">
        <v>46</v>
      </c>
      <c r="D365" s="13">
        <v>50</v>
      </c>
      <c r="E365" s="13">
        <v>59.17</v>
      </c>
      <c r="F365" s="13">
        <v>73.150000000000006</v>
      </c>
      <c r="G365" s="13">
        <v>3657.5000000000005</v>
      </c>
      <c r="H365" s="13">
        <v>0</v>
      </c>
      <c r="I365" s="13">
        <v>0</v>
      </c>
      <c r="J365" s="13">
        <v>0</v>
      </c>
      <c r="K365" s="13">
        <v>0</v>
      </c>
      <c r="L365" s="13">
        <v>0</v>
      </c>
      <c r="M365" s="95">
        <v>0</v>
      </c>
    </row>
    <row r="366" spans="1:13" ht="24.75" hidden="1" customHeight="1" x14ac:dyDescent="0.2">
      <c r="A366" s="94" t="s">
        <v>596</v>
      </c>
      <c r="B366" s="11" t="s">
        <v>597</v>
      </c>
      <c r="C366" s="12" t="s">
        <v>28</v>
      </c>
      <c r="D366" s="13">
        <v>4</v>
      </c>
      <c r="E366" s="13">
        <v>17.71</v>
      </c>
      <c r="F366" s="13">
        <v>21.89</v>
      </c>
      <c r="G366" s="13">
        <v>87.56</v>
      </c>
      <c r="H366" s="13">
        <v>0</v>
      </c>
      <c r="I366" s="13">
        <v>0</v>
      </c>
      <c r="J366" s="13">
        <v>0</v>
      </c>
      <c r="K366" s="13">
        <v>0</v>
      </c>
      <c r="L366" s="13">
        <v>0</v>
      </c>
      <c r="M366" s="95">
        <v>0</v>
      </c>
    </row>
    <row r="367" spans="1:13" ht="24.75" hidden="1" customHeight="1" x14ac:dyDescent="0.2">
      <c r="A367" s="94" t="s">
        <v>598</v>
      </c>
      <c r="B367" s="11" t="s">
        <v>599</v>
      </c>
      <c r="C367" s="12" t="s">
        <v>28</v>
      </c>
      <c r="D367" s="13">
        <v>20</v>
      </c>
      <c r="E367" s="13">
        <v>81.53</v>
      </c>
      <c r="F367" s="13">
        <v>100.79</v>
      </c>
      <c r="G367" s="13">
        <v>2015.8000000000002</v>
      </c>
      <c r="H367" s="13">
        <v>0</v>
      </c>
      <c r="I367" s="13">
        <v>0</v>
      </c>
      <c r="J367" s="13">
        <v>0</v>
      </c>
      <c r="K367" s="13">
        <v>0</v>
      </c>
      <c r="L367" s="13">
        <v>0</v>
      </c>
      <c r="M367" s="95">
        <v>0</v>
      </c>
    </row>
    <row r="368" spans="1:13" ht="24.75" hidden="1" customHeight="1" x14ac:dyDescent="0.2">
      <c r="A368" s="94" t="s">
        <v>600</v>
      </c>
      <c r="B368" s="11" t="s">
        <v>601</v>
      </c>
      <c r="C368" s="12" t="s">
        <v>28</v>
      </c>
      <c r="D368" s="13">
        <v>20</v>
      </c>
      <c r="E368" s="13">
        <v>46.02</v>
      </c>
      <c r="F368" s="13">
        <v>56.89</v>
      </c>
      <c r="G368" s="13">
        <v>1137.8</v>
      </c>
      <c r="H368" s="13">
        <v>0</v>
      </c>
      <c r="I368" s="13">
        <v>0</v>
      </c>
      <c r="J368" s="13">
        <v>0</v>
      </c>
      <c r="K368" s="13">
        <v>0</v>
      </c>
      <c r="L368" s="13">
        <v>0</v>
      </c>
      <c r="M368" s="95">
        <v>0</v>
      </c>
    </row>
    <row r="369" spans="1:13" ht="24.75" hidden="1" customHeight="1" x14ac:dyDescent="0.2">
      <c r="A369" s="94" t="s">
        <v>602</v>
      </c>
      <c r="B369" s="11" t="s">
        <v>603</v>
      </c>
      <c r="C369" s="12" t="s">
        <v>46</v>
      </c>
      <c r="D369" s="13">
        <v>305</v>
      </c>
      <c r="E369" s="13">
        <v>2.94</v>
      </c>
      <c r="F369" s="13">
        <v>3.4</v>
      </c>
      <c r="G369" s="13">
        <v>1037</v>
      </c>
      <c r="H369" s="13">
        <v>0</v>
      </c>
      <c r="I369" s="13">
        <v>0</v>
      </c>
      <c r="J369" s="13">
        <v>0</v>
      </c>
      <c r="K369" s="13">
        <v>0</v>
      </c>
      <c r="L369" s="13">
        <v>0</v>
      </c>
      <c r="M369" s="95">
        <v>0</v>
      </c>
    </row>
    <row r="370" spans="1:13" ht="24.75" hidden="1" customHeight="1" x14ac:dyDescent="0.2">
      <c r="A370" s="94" t="s">
        <v>604</v>
      </c>
      <c r="B370" s="11" t="s">
        <v>605</v>
      </c>
      <c r="C370" s="12" t="s">
        <v>28</v>
      </c>
      <c r="D370" s="13">
        <v>20</v>
      </c>
      <c r="E370" s="13">
        <v>12.83</v>
      </c>
      <c r="F370" s="13">
        <v>14.84</v>
      </c>
      <c r="G370" s="13">
        <v>296.8</v>
      </c>
      <c r="H370" s="13">
        <v>0</v>
      </c>
      <c r="I370" s="13">
        <v>0</v>
      </c>
      <c r="J370" s="13">
        <v>0</v>
      </c>
      <c r="K370" s="13">
        <v>0</v>
      </c>
      <c r="L370" s="13">
        <v>0</v>
      </c>
      <c r="M370" s="95">
        <v>0</v>
      </c>
    </row>
    <row r="371" spans="1:13" ht="24.75" hidden="1" customHeight="1" x14ac:dyDescent="0.2">
      <c r="A371" s="94" t="s">
        <v>606</v>
      </c>
      <c r="B371" s="11" t="s">
        <v>607</v>
      </c>
      <c r="C371" s="12" t="s">
        <v>28</v>
      </c>
      <c r="D371" s="13">
        <v>1</v>
      </c>
      <c r="E371" s="13">
        <v>92.13</v>
      </c>
      <c r="F371" s="13">
        <v>113.9</v>
      </c>
      <c r="G371" s="13">
        <v>113.9</v>
      </c>
      <c r="H371" s="13">
        <v>0</v>
      </c>
      <c r="I371" s="13">
        <v>0</v>
      </c>
      <c r="J371" s="13">
        <v>0</v>
      </c>
      <c r="K371" s="13">
        <v>0</v>
      </c>
      <c r="L371" s="13">
        <v>0</v>
      </c>
      <c r="M371" s="95">
        <v>0</v>
      </c>
    </row>
    <row r="372" spans="1:13" ht="24.75" hidden="1" customHeight="1" x14ac:dyDescent="0.2">
      <c r="A372" s="94" t="s">
        <v>608</v>
      </c>
      <c r="B372" s="11" t="s">
        <v>609</v>
      </c>
      <c r="C372" s="12" t="s">
        <v>28</v>
      </c>
      <c r="D372" s="13">
        <v>1</v>
      </c>
      <c r="E372" s="13">
        <v>74.23</v>
      </c>
      <c r="F372" s="13">
        <v>91.77</v>
      </c>
      <c r="G372" s="13">
        <v>91.77</v>
      </c>
      <c r="H372" s="13">
        <v>0</v>
      </c>
      <c r="I372" s="13">
        <v>0</v>
      </c>
      <c r="J372" s="13">
        <v>0</v>
      </c>
      <c r="K372" s="13">
        <v>0</v>
      </c>
      <c r="L372" s="13">
        <v>0</v>
      </c>
      <c r="M372" s="95">
        <v>0</v>
      </c>
    </row>
    <row r="373" spans="1:13" ht="24.75" hidden="1" customHeight="1" x14ac:dyDescent="0.2">
      <c r="A373" s="94" t="s">
        <v>610</v>
      </c>
      <c r="B373" s="11" t="s">
        <v>611</v>
      </c>
      <c r="C373" s="12" t="s">
        <v>46</v>
      </c>
      <c r="D373" s="13">
        <v>100</v>
      </c>
      <c r="E373" s="13">
        <v>106.74677000000001</v>
      </c>
      <c r="F373" s="13">
        <v>131.97103175100003</v>
      </c>
      <c r="G373" s="13">
        <v>13197.103175100003</v>
      </c>
      <c r="H373" s="13">
        <v>0</v>
      </c>
      <c r="I373" s="13">
        <v>0</v>
      </c>
      <c r="J373" s="13">
        <v>0</v>
      </c>
      <c r="K373" s="13">
        <v>0</v>
      </c>
      <c r="L373" s="13">
        <v>0</v>
      </c>
      <c r="M373" s="95">
        <v>0</v>
      </c>
    </row>
    <row r="374" spans="1:13" ht="24.75" customHeight="1" x14ac:dyDescent="0.2">
      <c r="A374" s="96" t="s">
        <v>612</v>
      </c>
      <c r="B374" s="15" t="s">
        <v>613</v>
      </c>
      <c r="C374" s="15"/>
      <c r="D374" s="19"/>
      <c r="E374" s="18"/>
      <c r="F374" s="18"/>
      <c r="G374" s="19">
        <v>173714.43913763418</v>
      </c>
      <c r="H374" s="19"/>
      <c r="I374" s="19"/>
      <c r="J374" s="19"/>
      <c r="K374" s="19">
        <v>55054.585023496962</v>
      </c>
      <c r="L374" s="19">
        <v>0</v>
      </c>
      <c r="M374" s="97">
        <v>55054.585023496962</v>
      </c>
    </row>
    <row r="375" spans="1:13" ht="24.75" hidden="1" customHeight="1" x14ac:dyDescent="0.2">
      <c r="A375" s="94" t="s">
        <v>614</v>
      </c>
      <c r="B375" s="11" t="s">
        <v>615</v>
      </c>
      <c r="C375" s="12" t="s">
        <v>46</v>
      </c>
      <c r="D375" s="13">
        <v>12.9</v>
      </c>
      <c r="E375" s="13">
        <v>77.61</v>
      </c>
      <c r="F375" s="13">
        <v>95.94</v>
      </c>
      <c r="G375" s="13">
        <v>1237.626</v>
      </c>
      <c r="H375" s="13">
        <v>0</v>
      </c>
      <c r="I375" s="13">
        <v>0</v>
      </c>
      <c r="J375" s="13">
        <v>0</v>
      </c>
      <c r="K375" s="13">
        <v>0</v>
      </c>
      <c r="L375" s="13">
        <v>0</v>
      </c>
      <c r="M375" s="95">
        <v>0</v>
      </c>
    </row>
    <row r="376" spans="1:13" ht="24.75" hidden="1" customHeight="1" x14ac:dyDescent="0.2">
      <c r="A376" s="94" t="s">
        <v>616</v>
      </c>
      <c r="B376" s="11" t="s">
        <v>617</v>
      </c>
      <c r="C376" s="12" t="s">
        <v>46</v>
      </c>
      <c r="D376" s="13">
        <v>15.4</v>
      </c>
      <c r="E376" s="13">
        <v>38.29</v>
      </c>
      <c r="F376" s="13">
        <v>47.33</v>
      </c>
      <c r="G376" s="13">
        <v>728.88199999999995</v>
      </c>
      <c r="H376" s="13">
        <v>0</v>
      </c>
      <c r="I376" s="13">
        <v>0</v>
      </c>
      <c r="J376" s="13">
        <v>0</v>
      </c>
      <c r="K376" s="13">
        <v>0</v>
      </c>
      <c r="L376" s="13">
        <v>0</v>
      </c>
      <c r="M376" s="95">
        <v>0</v>
      </c>
    </row>
    <row r="377" spans="1:13" ht="24.75" customHeight="1" x14ac:dyDescent="0.2">
      <c r="A377" s="94" t="s">
        <v>618</v>
      </c>
      <c r="B377" s="11" t="s">
        <v>619</v>
      </c>
      <c r="C377" s="12" t="s">
        <v>46</v>
      </c>
      <c r="D377" s="13">
        <v>19.5</v>
      </c>
      <c r="E377" s="13">
        <v>58.06</v>
      </c>
      <c r="F377" s="13">
        <v>71.77</v>
      </c>
      <c r="G377" s="13">
        <v>1399.5149999999999</v>
      </c>
      <c r="H377" s="13">
        <v>19.5</v>
      </c>
      <c r="I377" s="13">
        <v>0</v>
      </c>
      <c r="J377" s="13">
        <v>19.5</v>
      </c>
      <c r="K377" s="13">
        <v>1399.5149999999999</v>
      </c>
      <c r="L377" s="13">
        <v>0</v>
      </c>
      <c r="M377" s="95">
        <v>1399.5149999999999</v>
      </c>
    </row>
    <row r="378" spans="1:13" ht="24.75" hidden="1" customHeight="1" x14ac:dyDescent="0.2">
      <c r="A378" s="94" t="s">
        <v>620</v>
      </c>
      <c r="B378" s="11" t="s">
        <v>621</v>
      </c>
      <c r="C378" s="12" t="s">
        <v>46</v>
      </c>
      <c r="D378" s="13">
        <v>13.8</v>
      </c>
      <c r="E378" s="13">
        <v>77.61</v>
      </c>
      <c r="F378" s="13">
        <v>95.94</v>
      </c>
      <c r="G378" s="13">
        <v>1323.972</v>
      </c>
      <c r="H378" s="13">
        <v>0</v>
      </c>
      <c r="I378" s="13">
        <v>0</v>
      </c>
      <c r="J378" s="13">
        <v>0</v>
      </c>
      <c r="K378" s="13">
        <v>0</v>
      </c>
      <c r="L378" s="13">
        <v>0</v>
      </c>
      <c r="M378" s="95">
        <v>0</v>
      </c>
    </row>
    <row r="379" spans="1:13" ht="24.75" hidden="1" customHeight="1" x14ac:dyDescent="0.2">
      <c r="A379" s="94" t="s">
        <v>622</v>
      </c>
      <c r="B379" s="11" t="s">
        <v>623</v>
      </c>
      <c r="C379" s="12" t="s">
        <v>46</v>
      </c>
      <c r="D379" s="13">
        <v>78.3</v>
      </c>
      <c r="E379" s="13">
        <v>53.175640000000001</v>
      </c>
      <c r="F379" s="13">
        <v>65.741043732000009</v>
      </c>
      <c r="G379" s="13">
        <v>5147.5237242156009</v>
      </c>
      <c r="H379" s="13">
        <v>0</v>
      </c>
      <c r="I379" s="13">
        <v>0</v>
      </c>
      <c r="J379" s="13">
        <v>0</v>
      </c>
      <c r="K379" s="13">
        <v>0</v>
      </c>
      <c r="L379" s="13">
        <v>0</v>
      </c>
      <c r="M379" s="95">
        <v>0</v>
      </c>
    </row>
    <row r="380" spans="1:13" ht="24.75" hidden="1" customHeight="1" x14ac:dyDescent="0.2">
      <c r="A380" s="94" t="s">
        <v>624</v>
      </c>
      <c r="B380" s="11" t="s">
        <v>625</v>
      </c>
      <c r="C380" s="12" t="s">
        <v>46</v>
      </c>
      <c r="D380" s="13">
        <v>17.600000000000001</v>
      </c>
      <c r="E380" s="13">
        <v>97.66</v>
      </c>
      <c r="F380" s="13">
        <v>120.73</v>
      </c>
      <c r="G380" s="13">
        <v>2124.8480000000004</v>
      </c>
      <c r="H380" s="13">
        <v>0</v>
      </c>
      <c r="I380" s="13">
        <v>0</v>
      </c>
      <c r="J380" s="13">
        <v>0</v>
      </c>
      <c r="K380" s="13">
        <v>0</v>
      </c>
      <c r="L380" s="13">
        <v>0</v>
      </c>
      <c r="M380" s="95">
        <v>0</v>
      </c>
    </row>
    <row r="381" spans="1:13" ht="24.75" customHeight="1" x14ac:dyDescent="0.2">
      <c r="A381" s="94" t="s">
        <v>626</v>
      </c>
      <c r="B381" s="11" t="s">
        <v>627</v>
      </c>
      <c r="C381" s="12" t="s">
        <v>46</v>
      </c>
      <c r="D381" s="13">
        <v>10.3</v>
      </c>
      <c r="E381" s="13">
        <v>116.66</v>
      </c>
      <c r="F381" s="13">
        <v>144.22</v>
      </c>
      <c r="G381" s="13">
        <v>1485.4660000000001</v>
      </c>
      <c r="H381" s="13">
        <v>10.3</v>
      </c>
      <c r="I381" s="13">
        <v>0</v>
      </c>
      <c r="J381" s="13">
        <v>10.3</v>
      </c>
      <c r="K381" s="13">
        <v>1485.4660000000001</v>
      </c>
      <c r="L381" s="13">
        <v>0</v>
      </c>
      <c r="M381" s="95">
        <v>1485.4660000000001</v>
      </c>
    </row>
    <row r="382" spans="1:13" ht="24.75" hidden="1" customHeight="1" x14ac:dyDescent="0.2">
      <c r="A382" s="94" t="s">
        <v>628</v>
      </c>
      <c r="B382" s="11" t="s">
        <v>629</v>
      </c>
      <c r="C382" s="12" t="s">
        <v>46</v>
      </c>
      <c r="D382" s="13">
        <v>11.8</v>
      </c>
      <c r="E382" s="13">
        <v>86.1</v>
      </c>
      <c r="F382" s="13">
        <v>106.44</v>
      </c>
      <c r="G382" s="13">
        <v>1255.992</v>
      </c>
      <c r="H382" s="13">
        <v>0</v>
      </c>
      <c r="I382" s="13">
        <v>0</v>
      </c>
      <c r="J382" s="13">
        <v>0</v>
      </c>
      <c r="K382" s="13">
        <v>0</v>
      </c>
      <c r="L382" s="13">
        <v>0</v>
      </c>
      <c r="M382" s="95">
        <v>0</v>
      </c>
    </row>
    <row r="383" spans="1:13" ht="24.75" hidden="1" customHeight="1" x14ac:dyDescent="0.2">
      <c r="A383" s="94" t="s">
        <v>630</v>
      </c>
      <c r="B383" s="11" t="s">
        <v>631</v>
      </c>
      <c r="C383" s="12" t="s">
        <v>46</v>
      </c>
      <c r="D383" s="13">
        <v>84.8</v>
      </c>
      <c r="E383" s="13">
        <v>118.35817999999999</v>
      </c>
      <c r="F383" s="13">
        <v>146.326217934</v>
      </c>
      <c r="G383" s="13">
        <v>12408.4632808032</v>
      </c>
      <c r="H383" s="13">
        <v>0</v>
      </c>
      <c r="I383" s="13">
        <v>0</v>
      </c>
      <c r="J383" s="13">
        <v>0</v>
      </c>
      <c r="K383" s="13">
        <v>0</v>
      </c>
      <c r="L383" s="13">
        <v>0</v>
      </c>
      <c r="M383" s="95">
        <v>0</v>
      </c>
    </row>
    <row r="384" spans="1:13" ht="24.75" hidden="1" customHeight="1" x14ac:dyDescent="0.2">
      <c r="A384" s="94" t="s">
        <v>632</v>
      </c>
      <c r="B384" s="11" t="s">
        <v>633</v>
      </c>
      <c r="C384" s="12" t="s">
        <v>46</v>
      </c>
      <c r="D384" s="13">
        <v>58.5</v>
      </c>
      <c r="E384" s="13">
        <v>42.957740000000001</v>
      </c>
      <c r="F384" s="13">
        <v>53.108653962000005</v>
      </c>
      <c r="G384" s="13">
        <v>3106.8562567770005</v>
      </c>
      <c r="H384" s="13">
        <v>0</v>
      </c>
      <c r="I384" s="13">
        <v>0</v>
      </c>
      <c r="J384" s="13">
        <v>0</v>
      </c>
      <c r="K384" s="13">
        <v>0</v>
      </c>
      <c r="L384" s="13">
        <v>0</v>
      </c>
      <c r="M384" s="95">
        <v>0</v>
      </c>
    </row>
    <row r="385" spans="1:13" ht="24.75" hidden="1" customHeight="1" x14ac:dyDescent="0.2">
      <c r="A385" s="94" t="s">
        <v>634</v>
      </c>
      <c r="B385" s="11" t="s">
        <v>635</v>
      </c>
      <c r="C385" s="12" t="s">
        <v>46</v>
      </c>
      <c r="D385" s="13">
        <v>38</v>
      </c>
      <c r="E385" s="13">
        <v>49.756839999999997</v>
      </c>
      <c r="F385" s="13">
        <v>61.514381291999996</v>
      </c>
      <c r="G385" s="13">
        <v>2337.5464890959997</v>
      </c>
      <c r="H385" s="13">
        <v>0</v>
      </c>
      <c r="I385" s="13">
        <v>0</v>
      </c>
      <c r="J385" s="13">
        <v>0</v>
      </c>
      <c r="K385" s="13">
        <v>0</v>
      </c>
      <c r="L385" s="13">
        <v>0</v>
      </c>
      <c r="M385" s="95">
        <v>0</v>
      </c>
    </row>
    <row r="386" spans="1:13" ht="24.75" customHeight="1" x14ac:dyDescent="0.2">
      <c r="A386" s="94" t="s">
        <v>636</v>
      </c>
      <c r="B386" s="11" t="s">
        <v>637</v>
      </c>
      <c r="C386" s="12" t="s">
        <v>46</v>
      </c>
      <c r="D386" s="13">
        <v>2669.7</v>
      </c>
      <c r="E386" s="13">
        <v>39.515839999999997</v>
      </c>
      <c r="F386" s="13">
        <v>48.853432991999995</v>
      </c>
      <c r="G386" s="13">
        <v>130424.01005874238</v>
      </c>
      <c r="H386" s="13">
        <v>1067.8800000000001</v>
      </c>
      <c r="I386" s="13">
        <v>0</v>
      </c>
      <c r="J386" s="13">
        <v>1067.8800000000001</v>
      </c>
      <c r="K386" s="13">
        <v>52169.604023496962</v>
      </c>
      <c r="L386" s="13">
        <v>0</v>
      </c>
      <c r="M386" s="95">
        <v>52169.604023496962</v>
      </c>
    </row>
    <row r="387" spans="1:13" ht="24.75" hidden="1" customHeight="1" x14ac:dyDescent="0.2">
      <c r="A387" s="94" t="s">
        <v>638</v>
      </c>
      <c r="B387" s="11" t="s">
        <v>639</v>
      </c>
      <c r="C387" s="12" t="s">
        <v>46</v>
      </c>
      <c r="D387" s="13">
        <v>350</v>
      </c>
      <c r="E387" s="13">
        <v>21.201599999999999</v>
      </c>
      <c r="F387" s="13">
        <v>26.21153808</v>
      </c>
      <c r="G387" s="13">
        <v>9174.0383280000005</v>
      </c>
      <c r="H387" s="13">
        <v>0</v>
      </c>
      <c r="I387" s="13">
        <v>0</v>
      </c>
      <c r="J387" s="13">
        <v>0</v>
      </c>
      <c r="K387" s="13">
        <v>0</v>
      </c>
      <c r="L387" s="13">
        <v>0</v>
      </c>
      <c r="M387" s="95">
        <v>0</v>
      </c>
    </row>
    <row r="388" spans="1:13" ht="24.75" hidden="1" customHeight="1" x14ac:dyDescent="0.2">
      <c r="A388" s="94" t="s">
        <v>640</v>
      </c>
      <c r="B388" s="11" t="s">
        <v>641</v>
      </c>
      <c r="C388" s="12" t="s">
        <v>46</v>
      </c>
      <c r="D388" s="13">
        <v>45</v>
      </c>
      <c r="E388" s="13">
        <v>28.04</v>
      </c>
      <c r="F388" s="13">
        <v>34.659999999999997</v>
      </c>
      <c r="G388" s="13">
        <v>1559.6999999999998</v>
      </c>
      <c r="H388" s="13">
        <v>0</v>
      </c>
      <c r="I388" s="13">
        <v>0</v>
      </c>
      <c r="J388" s="13">
        <v>0</v>
      </c>
      <c r="K388" s="13">
        <v>0</v>
      </c>
      <c r="L388" s="13">
        <v>0</v>
      </c>
      <c r="M388" s="95">
        <v>0</v>
      </c>
    </row>
    <row r="389" spans="1:13" ht="24.75" customHeight="1" x14ac:dyDescent="0.2">
      <c r="A389" s="96" t="s">
        <v>642</v>
      </c>
      <c r="B389" s="15" t="s">
        <v>643</v>
      </c>
      <c r="C389" s="15"/>
      <c r="D389" s="19"/>
      <c r="E389" s="18"/>
      <c r="F389" s="18"/>
      <c r="G389" s="19">
        <v>611907.29</v>
      </c>
      <c r="H389" s="19"/>
      <c r="I389" s="18"/>
      <c r="J389" s="19"/>
      <c r="K389" s="19">
        <v>510717.60499999998</v>
      </c>
      <c r="L389" s="19">
        <v>0</v>
      </c>
      <c r="M389" s="97">
        <v>510717.60499999998</v>
      </c>
    </row>
    <row r="390" spans="1:13" ht="48" customHeight="1" x14ac:dyDescent="0.2">
      <c r="A390" s="94" t="s">
        <v>644</v>
      </c>
      <c r="B390" s="11" t="s">
        <v>645</v>
      </c>
      <c r="C390" s="12" t="s">
        <v>28</v>
      </c>
      <c r="D390" s="13">
        <v>1</v>
      </c>
      <c r="E390" s="13">
        <v>156391.79679999998</v>
      </c>
      <c r="F390" s="13">
        <v>180929.67</v>
      </c>
      <c r="G390" s="13">
        <v>180929.67</v>
      </c>
      <c r="H390" s="13">
        <v>0.5</v>
      </c>
      <c r="I390" s="13">
        <v>0</v>
      </c>
      <c r="J390" s="13">
        <v>0.5</v>
      </c>
      <c r="K390" s="13">
        <v>90464.835000000006</v>
      </c>
      <c r="L390" s="13">
        <v>0</v>
      </c>
      <c r="M390" s="95">
        <v>90464.835000000006</v>
      </c>
    </row>
    <row r="391" spans="1:13" ht="44.25" customHeight="1" x14ac:dyDescent="0.2">
      <c r="A391" s="94" t="s">
        <v>646</v>
      </c>
      <c r="B391" s="11" t="s">
        <v>647</v>
      </c>
      <c r="C391" s="12" t="s">
        <v>28</v>
      </c>
      <c r="D391" s="13">
        <v>1</v>
      </c>
      <c r="E391" s="13">
        <v>54741.196399999993</v>
      </c>
      <c r="F391" s="13">
        <v>63330.09</v>
      </c>
      <c r="G391" s="13">
        <v>63330.09</v>
      </c>
      <c r="H391" s="13">
        <v>1</v>
      </c>
      <c r="I391" s="13">
        <v>0</v>
      </c>
      <c r="J391" s="13">
        <v>1</v>
      </c>
      <c r="K391" s="13">
        <v>63330.09</v>
      </c>
      <c r="L391" s="13">
        <v>0</v>
      </c>
      <c r="M391" s="95">
        <v>63330.09</v>
      </c>
    </row>
    <row r="392" spans="1:13" ht="24.75" hidden="1" customHeight="1" x14ac:dyDescent="0.2">
      <c r="A392" s="94" t="s">
        <v>648</v>
      </c>
      <c r="B392" s="11" t="s">
        <v>649</v>
      </c>
      <c r="C392" s="12" t="s">
        <v>28</v>
      </c>
      <c r="D392" s="13">
        <v>1</v>
      </c>
      <c r="E392" s="13">
        <v>8674.9599999999991</v>
      </c>
      <c r="F392" s="13">
        <v>10724.85</v>
      </c>
      <c r="G392" s="13">
        <v>10724.85</v>
      </c>
      <c r="H392" s="13">
        <v>0</v>
      </c>
      <c r="I392" s="13">
        <v>0</v>
      </c>
      <c r="J392" s="13">
        <v>0</v>
      </c>
      <c r="K392" s="13">
        <v>0</v>
      </c>
      <c r="L392" s="13">
        <v>0</v>
      </c>
      <c r="M392" s="95">
        <v>0</v>
      </c>
    </row>
    <row r="393" spans="1:13" ht="54" customHeight="1" x14ac:dyDescent="0.2">
      <c r="A393" s="94" t="s">
        <v>650</v>
      </c>
      <c r="B393" s="11" t="s">
        <v>651</v>
      </c>
      <c r="C393" s="12" t="s">
        <v>28</v>
      </c>
      <c r="D393" s="13">
        <v>2</v>
      </c>
      <c r="E393" s="13">
        <v>154258.226</v>
      </c>
      <c r="F393" s="13">
        <v>178461.34</v>
      </c>
      <c r="G393" s="13">
        <v>356922.68</v>
      </c>
      <c r="H393" s="13">
        <v>2</v>
      </c>
      <c r="I393" s="13">
        <v>0</v>
      </c>
      <c r="J393" s="13">
        <v>2</v>
      </c>
      <c r="K393" s="13">
        <v>356922.68</v>
      </c>
      <c r="L393" s="13">
        <v>0</v>
      </c>
      <c r="M393" s="95">
        <v>356922.68</v>
      </c>
    </row>
    <row r="394" spans="1:13" ht="24.75" customHeight="1" x14ac:dyDescent="0.2">
      <c r="A394" s="96" t="s">
        <v>652</v>
      </c>
      <c r="B394" s="15" t="s">
        <v>653</v>
      </c>
      <c r="C394" s="15"/>
      <c r="D394" s="19"/>
      <c r="E394" s="18"/>
      <c r="F394" s="18"/>
      <c r="G394" s="19">
        <v>177281.32664636854</v>
      </c>
      <c r="H394" s="19"/>
      <c r="I394" s="18"/>
      <c r="J394" s="19"/>
      <c r="K394" s="19">
        <v>37185.659487796598</v>
      </c>
      <c r="L394" s="19">
        <v>0</v>
      </c>
      <c r="M394" s="97">
        <v>37185.659487796598</v>
      </c>
    </row>
    <row r="395" spans="1:13" ht="46.5" customHeight="1" x14ac:dyDescent="0.2">
      <c r="A395" s="94" t="s">
        <v>654</v>
      </c>
      <c r="B395" s="11" t="s">
        <v>655</v>
      </c>
      <c r="C395" s="12" t="s">
        <v>46</v>
      </c>
      <c r="D395" s="13">
        <v>210.14</v>
      </c>
      <c r="E395" s="13">
        <v>79.788006999999993</v>
      </c>
      <c r="F395" s="13">
        <v>98.641913054099987</v>
      </c>
      <c r="G395" s="13">
        <v>20728.611609188571</v>
      </c>
      <c r="H395" s="13">
        <v>126</v>
      </c>
      <c r="I395" s="13">
        <v>0</v>
      </c>
      <c r="J395" s="13">
        <v>126</v>
      </c>
      <c r="K395" s="13">
        <v>12428.881044816599</v>
      </c>
      <c r="L395" s="13">
        <v>0</v>
      </c>
      <c r="M395" s="95">
        <v>12428.881044816599</v>
      </c>
    </row>
    <row r="396" spans="1:13" ht="43.5" customHeight="1" x14ac:dyDescent="0.2">
      <c r="A396" s="94" t="s">
        <v>656</v>
      </c>
      <c r="B396" s="11" t="s">
        <v>657</v>
      </c>
      <c r="C396" s="12" t="s">
        <v>28</v>
      </c>
      <c r="D396" s="13">
        <v>39</v>
      </c>
      <c r="E396" s="13">
        <v>117.78</v>
      </c>
      <c r="F396" s="13">
        <v>145.61000000000001</v>
      </c>
      <c r="G396" s="13">
        <v>5678.7900000000009</v>
      </c>
      <c r="H396" s="13">
        <v>5</v>
      </c>
      <c r="I396" s="13">
        <v>0</v>
      </c>
      <c r="J396" s="13">
        <v>5</v>
      </c>
      <c r="K396" s="13">
        <v>728.05000000000007</v>
      </c>
      <c r="L396" s="13">
        <v>0</v>
      </c>
      <c r="M396" s="95">
        <v>728.05000000000007</v>
      </c>
    </row>
    <row r="397" spans="1:13" ht="60" customHeight="1" x14ac:dyDescent="0.2">
      <c r="A397" s="94" t="s">
        <v>658</v>
      </c>
      <c r="B397" s="11" t="s">
        <v>659</v>
      </c>
      <c r="C397" s="12" t="s">
        <v>28</v>
      </c>
      <c r="D397" s="13">
        <v>9</v>
      </c>
      <c r="E397" s="13">
        <v>157.97999999999999</v>
      </c>
      <c r="F397" s="13">
        <v>195.31</v>
      </c>
      <c r="G397" s="13">
        <v>1757.79</v>
      </c>
      <c r="H397" s="13">
        <v>6</v>
      </c>
      <c r="I397" s="13">
        <v>0</v>
      </c>
      <c r="J397" s="13">
        <v>6</v>
      </c>
      <c r="K397" s="13">
        <v>1171.8600000000001</v>
      </c>
      <c r="L397" s="13">
        <v>0</v>
      </c>
      <c r="M397" s="95">
        <v>1171.8600000000001</v>
      </c>
    </row>
    <row r="398" spans="1:13" ht="60.75" customHeight="1" x14ac:dyDescent="0.2">
      <c r="A398" s="94" t="s">
        <v>660</v>
      </c>
      <c r="B398" s="11" t="s">
        <v>661</v>
      </c>
      <c r="C398" s="12" t="s">
        <v>28</v>
      </c>
      <c r="D398" s="13">
        <v>11</v>
      </c>
      <c r="E398" s="13">
        <v>1680.7386000000001</v>
      </c>
      <c r="F398" s="13">
        <v>2077.8971311800001</v>
      </c>
      <c r="G398" s="13">
        <v>22856.868442980001</v>
      </c>
      <c r="H398" s="13">
        <v>11</v>
      </c>
      <c r="I398" s="13">
        <v>0</v>
      </c>
      <c r="J398" s="13">
        <v>11</v>
      </c>
      <c r="K398" s="13">
        <v>22856.868442980001</v>
      </c>
      <c r="L398" s="13">
        <v>0</v>
      </c>
      <c r="M398" s="95">
        <v>22856.868442980001</v>
      </c>
    </row>
    <row r="399" spans="1:13" ht="24.75" hidden="1" customHeight="1" x14ac:dyDescent="0.2">
      <c r="A399" s="94" t="s">
        <v>662</v>
      </c>
      <c r="B399" s="11" t="s">
        <v>663</v>
      </c>
      <c r="C399" s="12" t="s">
        <v>28</v>
      </c>
      <c r="D399" s="13">
        <v>1</v>
      </c>
      <c r="E399" s="13">
        <v>217.65</v>
      </c>
      <c r="F399" s="13">
        <v>269.08</v>
      </c>
      <c r="G399" s="13">
        <v>269.08</v>
      </c>
      <c r="H399" s="13">
        <v>0</v>
      </c>
      <c r="I399" s="13">
        <v>0</v>
      </c>
      <c r="J399" s="13">
        <v>0</v>
      </c>
      <c r="K399" s="13">
        <v>0</v>
      </c>
      <c r="L399" s="13">
        <v>0</v>
      </c>
      <c r="M399" s="95">
        <v>0</v>
      </c>
    </row>
    <row r="400" spans="1:13" ht="24.75" hidden="1" customHeight="1" x14ac:dyDescent="0.2">
      <c r="A400" s="94" t="s">
        <v>664</v>
      </c>
      <c r="B400" s="11" t="s">
        <v>665</v>
      </c>
      <c r="C400" s="12" t="s">
        <v>28</v>
      </c>
      <c r="D400" s="13">
        <v>1</v>
      </c>
      <c r="E400" s="13">
        <v>917.04</v>
      </c>
      <c r="F400" s="13">
        <v>1133.73</v>
      </c>
      <c r="G400" s="13">
        <v>1133.73</v>
      </c>
      <c r="H400" s="13">
        <v>0</v>
      </c>
      <c r="I400" s="13">
        <v>0</v>
      </c>
      <c r="J400" s="13">
        <v>0</v>
      </c>
      <c r="K400" s="13">
        <v>0</v>
      </c>
      <c r="L400" s="13">
        <v>0</v>
      </c>
      <c r="M400" s="95">
        <v>0</v>
      </c>
    </row>
    <row r="401" spans="1:13" ht="24.75" hidden="1" customHeight="1" x14ac:dyDescent="0.2">
      <c r="A401" s="94" t="s">
        <v>666</v>
      </c>
      <c r="B401" s="11" t="s">
        <v>667</v>
      </c>
      <c r="C401" s="12" t="s">
        <v>28</v>
      </c>
      <c r="D401" s="13">
        <v>40</v>
      </c>
      <c r="E401" s="13">
        <v>234.45359999999999</v>
      </c>
      <c r="F401" s="13">
        <v>289.85498568000003</v>
      </c>
      <c r="G401" s="13">
        <v>11594.199427200001</v>
      </c>
      <c r="H401" s="13">
        <v>0</v>
      </c>
      <c r="I401" s="13">
        <v>0</v>
      </c>
      <c r="J401" s="13">
        <v>0</v>
      </c>
      <c r="K401" s="13">
        <v>0</v>
      </c>
      <c r="L401" s="13">
        <v>0</v>
      </c>
      <c r="M401" s="95">
        <v>0</v>
      </c>
    </row>
    <row r="402" spans="1:13" ht="24.75" hidden="1" customHeight="1" x14ac:dyDescent="0.2">
      <c r="A402" s="94" t="s">
        <v>668</v>
      </c>
      <c r="B402" s="11" t="s">
        <v>669</v>
      </c>
      <c r="C402" s="12" t="s">
        <v>28</v>
      </c>
      <c r="D402" s="13">
        <v>1</v>
      </c>
      <c r="E402" s="13">
        <v>4697.34</v>
      </c>
      <c r="F402" s="13">
        <v>5807.32</v>
      </c>
      <c r="G402" s="13">
        <v>5807.32</v>
      </c>
      <c r="H402" s="13">
        <v>0</v>
      </c>
      <c r="I402" s="13">
        <v>0</v>
      </c>
      <c r="J402" s="13">
        <v>0</v>
      </c>
      <c r="K402" s="13">
        <v>0</v>
      </c>
      <c r="L402" s="13">
        <v>0</v>
      </c>
      <c r="M402" s="95">
        <v>0</v>
      </c>
    </row>
    <row r="403" spans="1:13" ht="24.75" hidden="1" customHeight="1" x14ac:dyDescent="0.2">
      <c r="A403" s="94" t="s">
        <v>670</v>
      </c>
      <c r="B403" s="11" t="s">
        <v>671</v>
      </c>
      <c r="C403" s="12" t="s">
        <v>28</v>
      </c>
      <c r="D403" s="13">
        <v>11</v>
      </c>
      <c r="E403" s="13">
        <v>147.79</v>
      </c>
      <c r="F403" s="13">
        <v>182.71</v>
      </c>
      <c r="G403" s="13">
        <v>2009.8100000000002</v>
      </c>
      <c r="H403" s="13">
        <v>0</v>
      </c>
      <c r="I403" s="13">
        <v>0</v>
      </c>
      <c r="J403" s="13">
        <v>0</v>
      </c>
      <c r="K403" s="13">
        <v>0</v>
      </c>
      <c r="L403" s="13">
        <v>0</v>
      </c>
      <c r="M403" s="95">
        <v>0</v>
      </c>
    </row>
    <row r="404" spans="1:13" ht="24.75" hidden="1" customHeight="1" x14ac:dyDescent="0.2">
      <c r="A404" s="94" t="s">
        <v>672</v>
      </c>
      <c r="B404" s="11" t="s">
        <v>673</v>
      </c>
      <c r="C404" s="12" t="s">
        <v>28</v>
      </c>
      <c r="D404" s="13">
        <v>1</v>
      </c>
      <c r="E404" s="13">
        <v>763.63</v>
      </c>
      <c r="F404" s="13">
        <v>883.44</v>
      </c>
      <c r="G404" s="13">
        <v>883.44</v>
      </c>
      <c r="H404" s="13">
        <v>0</v>
      </c>
      <c r="I404" s="13">
        <v>0</v>
      </c>
      <c r="J404" s="13">
        <v>0</v>
      </c>
      <c r="K404" s="13">
        <v>0</v>
      </c>
      <c r="L404" s="13">
        <v>0</v>
      </c>
      <c r="M404" s="95">
        <v>0</v>
      </c>
    </row>
    <row r="405" spans="1:13" ht="24.75" hidden="1" customHeight="1" x14ac:dyDescent="0.2">
      <c r="A405" s="94" t="s">
        <v>674</v>
      </c>
      <c r="B405" s="11" t="s">
        <v>675</v>
      </c>
      <c r="C405" s="12" t="s">
        <v>28</v>
      </c>
      <c r="D405" s="13">
        <v>1</v>
      </c>
      <c r="E405" s="13">
        <v>3105.37</v>
      </c>
      <c r="F405" s="13">
        <v>3592.6</v>
      </c>
      <c r="G405" s="13">
        <v>3592.6</v>
      </c>
      <c r="H405" s="13">
        <v>0</v>
      </c>
      <c r="I405" s="13">
        <v>0</v>
      </c>
      <c r="J405" s="13">
        <v>0</v>
      </c>
      <c r="K405" s="13">
        <v>0</v>
      </c>
      <c r="L405" s="13">
        <v>0</v>
      </c>
      <c r="M405" s="95">
        <v>0</v>
      </c>
    </row>
    <row r="406" spans="1:13" ht="24.75" hidden="1" customHeight="1" x14ac:dyDescent="0.2">
      <c r="A406" s="94" t="s">
        <v>676</v>
      </c>
      <c r="B406" s="11" t="s">
        <v>677</v>
      </c>
      <c r="C406" s="12" t="s">
        <v>28</v>
      </c>
      <c r="D406" s="13">
        <v>11</v>
      </c>
      <c r="E406" s="13">
        <v>80.25</v>
      </c>
      <c r="F406" s="13">
        <v>99.21</v>
      </c>
      <c r="G406" s="13">
        <v>1091.31</v>
      </c>
      <c r="H406" s="13">
        <v>0</v>
      </c>
      <c r="I406" s="13">
        <v>0</v>
      </c>
      <c r="J406" s="13">
        <v>0</v>
      </c>
      <c r="K406" s="13">
        <v>0</v>
      </c>
      <c r="L406" s="13">
        <v>0</v>
      </c>
      <c r="M406" s="95">
        <v>0</v>
      </c>
    </row>
    <row r="407" spans="1:13" ht="24.75" hidden="1" customHeight="1" x14ac:dyDescent="0.2">
      <c r="A407" s="94" t="s">
        <v>678</v>
      </c>
      <c r="B407" s="11" t="s">
        <v>679</v>
      </c>
      <c r="C407" s="12" t="s">
        <v>28</v>
      </c>
      <c r="D407" s="13">
        <v>206</v>
      </c>
      <c r="E407" s="13">
        <v>109.96559999999999</v>
      </c>
      <c r="F407" s="13">
        <v>127.22</v>
      </c>
      <c r="G407" s="13">
        <v>26207.32</v>
      </c>
      <c r="H407" s="13">
        <v>0</v>
      </c>
      <c r="I407" s="13">
        <v>0</v>
      </c>
      <c r="J407" s="13">
        <v>0</v>
      </c>
      <c r="K407" s="13">
        <v>0</v>
      </c>
      <c r="L407" s="13">
        <v>0</v>
      </c>
      <c r="M407" s="95">
        <v>0</v>
      </c>
    </row>
    <row r="408" spans="1:13" ht="24.75" customHeight="1" x14ac:dyDescent="0.2">
      <c r="A408" s="94" t="s">
        <v>680</v>
      </c>
      <c r="B408" s="11" t="s">
        <v>681</v>
      </c>
      <c r="C408" s="12" t="s">
        <v>28</v>
      </c>
      <c r="D408" s="13">
        <v>155</v>
      </c>
      <c r="E408" s="13">
        <v>141.75799999999998</v>
      </c>
      <c r="F408" s="13">
        <v>175.25541539999998</v>
      </c>
      <c r="G408" s="13">
        <v>27164.589386999996</v>
      </c>
      <c r="H408" s="13">
        <v>0</v>
      </c>
      <c r="I408" s="344">
        <v>0</v>
      </c>
      <c r="J408" s="13">
        <v>0</v>
      </c>
      <c r="K408" s="13">
        <v>0</v>
      </c>
      <c r="L408" s="13">
        <v>0</v>
      </c>
      <c r="M408" s="95">
        <v>0</v>
      </c>
    </row>
    <row r="409" spans="1:13" ht="24.75" hidden="1" customHeight="1" x14ac:dyDescent="0.2">
      <c r="A409" s="94" t="s">
        <v>682</v>
      </c>
      <c r="B409" s="11" t="s">
        <v>683</v>
      </c>
      <c r="C409" s="12" t="s">
        <v>28</v>
      </c>
      <c r="D409" s="13">
        <v>155</v>
      </c>
      <c r="E409" s="13">
        <v>208.51999999999998</v>
      </c>
      <c r="F409" s="13">
        <v>257.79327599999999</v>
      </c>
      <c r="G409" s="13">
        <v>39957.957779999997</v>
      </c>
      <c r="H409" s="13">
        <v>0</v>
      </c>
      <c r="I409" s="13">
        <v>0</v>
      </c>
      <c r="J409" s="13">
        <v>0</v>
      </c>
      <c r="K409" s="13">
        <v>0</v>
      </c>
      <c r="L409" s="13">
        <v>0</v>
      </c>
      <c r="M409" s="95">
        <v>0</v>
      </c>
    </row>
    <row r="410" spans="1:13" ht="24.75" hidden="1" customHeight="1" x14ac:dyDescent="0.2">
      <c r="A410" s="94" t="s">
        <v>684</v>
      </c>
      <c r="B410" s="11" t="s">
        <v>685</v>
      </c>
      <c r="C410" s="12" t="s">
        <v>28</v>
      </c>
      <c r="D410" s="13">
        <v>29</v>
      </c>
      <c r="E410" s="13">
        <v>156.74</v>
      </c>
      <c r="F410" s="13">
        <v>193.77</v>
      </c>
      <c r="G410" s="13">
        <v>5619.33</v>
      </c>
      <c r="H410" s="13">
        <v>0</v>
      </c>
      <c r="I410" s="13">
        <v>0</v>
      </c>
      <c r="J410" s="13">
        <v>0</v>
      </c>
      <c r="K410" s="13">
        <v>0</v>
      </c>
      <c r="L410" s="13">
        <v>0</v>
      </c>
      <c r="M410" s="95">
        <v>0</v>
      </c>
    </row>
    <row r="411" spans="1:13" ht="24.75" hidden="1" customHeight="1" x14ac:dyDescent="0.2">
      <c r="A411" s="94" t="s">
        <v>686</v>
      </c>
      <c r="B411" s="11" t="s">
        <v>687</v>
      </c>
      <c r="C411" s="12" t="s">
        <v>13</v>
      </c>
      <c r="D411" s="13">
        <v>1</v>
      </c>
      <c r="E411" s="13">
        <v>127.93</v>
      </c>
      <c r="F411" s="13">
        <v>158.15</v>
      </c>
      <c r="G411" s="13">
        <v>158.15</v>
      </c>
      <c r="H411" s="13">
        <v>0</v>
      </c>
      <c r="I411" s="13">
        <v>0</v>
      </c>
      <c r="J411" s="13">
        <v>0</v>
      </c>
      <c r="K411" s="13">
        <v>0</v>
      </c>
      <c r="L411" s="13">
        <v>0</v>
      </c>
      <c r="M411" s="95">
        <v>0</v>
      </c>
    </row>
    <row r="412" spans="1:13" ht="24.75" hidden="1" customHeight="1" x14ac:dyDescent="0.2">
      <c r="A412" s="94" t="s">
        <v>688</v>
      </c>
      <c r="B412" s="11" t="s">
        <v>689</v>
      </c>
      <c r="C412" s="12" t="s">
        <v>13</v>
      </c>
      <c r="D412" s="13">
        <v>206</v>
      </c>
      <c r="E412" s="13">
        <v>2.97</v>
      </c>
      <c r="F412" s="13">
        <v>3.67</v>
      </c>
      <c r="G412" s="13">
        <v>756.02</v>
      </c>
      <c r="H412" s="13">
        <v>0</v>
      </c>
      <c r="I412" s="13">
        <v>0</v>
      </c>
      <c r="J412" s="13">
        <v>0</v>
      </c>
      <c r="K412" s="13">
        <v>0</v>
      </c>
      <c r="L412" s="13">
        <v>0</v>
      </c>
      <c r="M412" s="95">
        <v>0</v>
      </c>
    </row>
    <row r="413" spans="1:13" ht="24.75" hidden="1" customHeight="1" x14ac:dyDescent="0.2">
      <c r="A413" s="94" t="s">
        <v>690</v>
      </c>
      <c r="B413" s="11" t="s">
        <v>691</v>
      </c>
      <c r="C413" s="12" t="s">
        <v>28</v>
      </c>
      <c r="D413" s="13">
        <v>1</v>
      </c>
      <c r="E413" s="13">
        <v>11.66</v>
      </c>
      <c r="F413" s="13">
        <v>14.41</v>
      </c>
      <c r="G413" s="13">
        <v>14.41</v>
      </c>
      <c r="H413" s="13">
        <v>0</v>
      </c>
      <c r="I413" s="13">
        <v>0</v>
      </c>
      <c r="J413" s="13">
        <v>0</v>
      </c>
      <c r="K413" s="13">
        <v>0</v>
      </c>
      <c r="L413" s="13">
        <v>0</v>
      </c>
      <c r="M413" s="95">
        <v>0</v>
      </c>
    </row>
    <row r="414" spans="1:13" ht="24.75" customHeight="1" x14ac:dyDescent="0.2">
      <c r="A414" s="96" t="s">
        <v>692</v>
      </c>
      <c r="B414" s="15" t="s">
        <v>693</v>
      </c>
      <c r="C414" s="15"/>
      <c r="D414" s="19"/>
      <c r="E414" s="18"/>
      <c r="F414" s="18"/>
      <c r="G414" s="19">
        <v>69230.487013236634</v>
      </c>
      <c r="H414" s="19"/>
      <c r="I414" s="18"/>
      <c r="J414" s="19"/>
      <c r="K414" s="19">
        <v>0</v>
      </c>
      <c r="L414" s="19">
        <v>0</v>
      </c>
      <c r="M414" s="97">
        <v>0</v>
      </c>
    </row>
    <row r="415" spans="1:13" ht="24.75" hidden="1" customHeight="1" x14ac:dyDescent="0.2">
      <c r="A415" s="94" t="s">
        <v>694</v>
      </c>
      <c r="B415" s="11" t="s">
        <v>695</v>
      </c>
      <c r="C415" s="12" t="s">
        <v>696</v>
      </c>
      <c r="D415" s="13">
        <v>9.3800000000000008</v>
      </c>
      <c r="E415" s="13">
        <v>510.97</v>
      </c>
      <c r="F415" s="13">
        <v>631.71</v>
      </c>
      <c r="G415" s="13">
        <v>5925.439800000001</v>
      </c>
      <c r="H415" s="13">
        <v>0</v>
      </c>
      <c r="I415" s="13">
        <v>0</v>
      </c>
      <c r="J415" s="13">
        <v>0</v>
      </c>
      <c r="K415" s="13">
        <v>0</v>
      </c>
      <c r="L415" s="13">
        <v>0</v>
      </c>
      <c r="M415" s="95">
        <v>0</v>
      </c>
    </row>
    <row r="416" spans="1:13" ht="24.75" hidden="1" customHeight="1" x14ac:dyDescent="0.2">
      <c r="A416" s="94" t="s">
        <v>697</v>
      </c>
      <c r="B416" s="11" t="s">
        <v>698</v>
      </c>
      <c r="C416" s="12" t="s">
        <v>696</v>
      </c>
      <c r="D416" s="13">
        <v>1.76</v>
      </c>
      <c r="E416" s="13">
        <v>1962.65</v>
      </c>
      <c r="F416" s="13">
        <v>2426.42</v>
      </c>
      <c r="G416" s="13">
        <v>4270.4992000000002</v>
      </c>
      <c r="H416" s="13">
        <v>0</v>
      </c>
      <c r="I416" s="13">
        <v>0</v>
      </c>
      <c r="J416" s="13">
        <v>0</v>
      </c>
      <c r="K416" s="13">
        <v>0</v>
      </c>
      <c r="L416" s="13">
        <v>0</v>
      </c>
      <c r="M416" s="95">
        <v>0</v>
      </c>
    </row>
    <row r="417" spans="1:13" ht="24.75" customHeight="1" x14ac:dyDescent="0.2">
      <c r="A417" s="94" t="s">
        <v>699</v>
      </c>
      <c r="B417" s="11" t="s">
        <v>700</v>
      </c>
      <c r="C417" s="12" t="s">
        <v>46</v>
      </c>
      <c r="D417" s="13">
        <v>153.66</v>
      </c>
      <c r="E417" s="13">
        <v>139.25608</v>
      </c>
      <c r="F417" s="13">
        <v>172.16229170399998</v>
      </c>
      <c r="G417" s="13">
        <v>26454.457743236639</v>
      </c>
      <c r="H417" s="13">
        <v>0</v>
      </c>
      <c r="I417" s="344">
        <v>0</v>
      </c>
      <c r="J417" s="13">
        <v>0</v>
      </c>
      <c r="K417" s="13">
        <v>0</v>
      </c>
      <c r="L417" s="13">
        <v>0</v>
      </c>
      <c r="M417" s="95">
        <v>0</v>
      </c>
    </row>
    <row r="418" spans="1:13" ht="24.75" hidden="1" customHeight="1" x14ac:dyDescent="0.2">
      <c r="A418" s="94" t="s">
        <v>701</v>
      </c>
      <c r="B418" s="11" t="s">
        <v>702</v>
      </c>
      <c r="C418" s="12" t="s">
        <v>46</v>
      </c>
      <c r="D418" s="13">
        <v>235</v>
      </c>
      <c r="E418" s="13">
        <v>112.13999999999999</v>
      </c>
      <c r="F418" s="13">
        <v>138.63868199999999</v>
      </c>
      <c r="G418" s="13">
        <v>32580.090269999997</v>
      </c>
      <c r="H418" s="13">
        <v>0</v>
      </c>
      <c r="I418" s="13">
        <v>0</v>
      </c>
      <c r="J418" s="13">
        <v>0</v>
      </c>
      <c r="K418" s="13">
        <v>0</v>
      </c>
      <c r="L418" s="13">
        <v>0</v>
      </c>
      <c r="M418" s="95">
        <v>0</v>
      </c>
    </row>
    <row r="419" spans="1:13" ht="24.75" hidden="1" customHeight="1" x14ac:dyDescent="0.2">
      <c r="A419" s="96" t="s">
        <v>703</v>
      </c>
      <c r="B419" s="15" t="s">
        <v>704</v>
      </c>
      <c r="C419" s="15"/>
      <c r="D419" s="19"/>
      <c r="E419" s="18"/>
      <c r="F419" s="18"/>
      <c r="G419" s="19">
        <v>20007.4872</v>
      </c>
      <c r="H419" s="19"/>
      <c r="I419" s="18"/>
      <c r="J419" s="19"/>
      <c r="K419" s="19">
        <v>0</v>
      </c>
      <c r="L419" s="19">
        <v>0</v>
      </c>
      <c r="M419" s="97">
        <v>0</v>
      </c>
    </row>
    <row r="420" spans="1:13" ht="24.75" hidden="1" customHeight="1" x14ac:dyDescent="0.2">
      <c r="A420" s="94" t="s">
        <v>705</v>
      </c>
      <c r="B420" s="11" t="s">
        <v>706</v>
      </c>
      <c r="C420" s="12" t="s">
        <v>696</v>
      </c>
      <c r="D420" s="13">
        <v>250</v>
      </c>
      <c r="E420" s="13">
        <v>16.2</v>
      </c>
      <c r="F420" s="13">
        <v>20.02806</v>
      </c>
      <c r="G420" s="13">
        <v>5007.0150000000003</v>
      </c>
      <c r="H420" s="13">
        <v>0</v>
      </c>
      <c r="I420" s="13">
        <v>0</v>
      </c>
      <c r="J420" s="13">
        <v>0</v>
      </c>
      <c r="K420" s="13">
        <v>0</v>
      </c>
      <c r="L420" s="13">
        <v>0</v>
      </c>
      <c r="M420" s="95">
        <v>0</v>
      </c>
    </row>
    <row r="421" spans="1:13" ht="24.75" hidden="1" customHeight="1" x14ac:dyDescent="0.2">
      <c r="A421" s="94" t="s">
        <v>707</v>
      </c>
      <c r="B421" s="11" t="s">
        <v>708</v>
      </c>
      <c r="C421" s="12" t="s">
        <v>28</v>
      </c>
      <c r="D421" s="13">
        <v>320</v>
      </c>
      <c r="E421" s="13">
        <v>32.949999999999996</v>
      </c>
      <c r="F421" s="13">
        <v>40.736084999999996</v>
      </c>
      <c r="G421" s="13">
        <v>13035.547199999999</v>
      </c>
      <c r="H421" s="13">
        <v>0</v>
      </c>
      <c r="I421" s="13">
        <v>0</v>
      </c>
      <c r="J421" s="13">
        <v>0</v>
      </c>
      <c r="K421" s="13">
        <v>0</v>
      </c>
      <c r="L421" s="13">
        <v>0</v>
      </c>
      <c r="M421" s="95">
        <v>0</v>
      </c>
    </row>
    <row r="422" spans="1:13" ht="27.75" hidden="1" customHeight="1" x14ac:dyDescent="0.2">
      <c r="A422" s="94" t="s">
        <v>709</v>
      </c>
      <c r="B422" s="11" t="s">
        <v>710</v>
      </c>
      <c r="C422" s="12" t="s">
        <v>711</v>
      </c>
      <c r="D422" s="13">
        <v>35.5</v>
      </c>
      <c r="E422" s="13">
        <v>47.84</v>
      </c>
      <c r="F422" s="13">
        <v>55.35</v>
      </c>
      <c r="G422" s="13">
        <v>1964.925</v>
      </c>
      <c r="H422" s="13">
        <v>0</v>
      </c>
      <c r="I422" s="13">
        <v>0</v>
      </c>
      <c r="J422" s="13">
        <v>0</v>
      </c>
      <c r="K422" s="13">
        <v>0</v>
      </c>
      <c r="L422" s="13">
        <v>0</v>
      </c>
      <c r="M422" s="95">
        <v>0</v>
      </c>
    </row>
    <row r="423" spans="1:13" ht="24.75" customHeight="1" x14ac:dyDescent="0.2">
      <c r="A423" s="96" t="s">
        <v>712</v>
      </c>
      <c r="B423" s="15" t="s">
        <v>713</v>
      </c>
      <c r="C423" s="15"/>
      <c r="D423" s="19"/>
      <c r="E423" s="18"/>
      <c r="F423" s="18"/>
      <c r="G423" s="19">
        <v>213326.78628468001</v>
      </c>
      <c r="H423" s="19"/>
      <c r="I423" s="18"/>
      <c r="J423" s="19"/>
      <c r="K423" s="19">
        <v>73575.42212280001</v>
      </c>
      <c r="L423" s="19">
        <v>16871.358834719998</v>
      </c>
      <c r="M423" s="97">
        <v>90446.780957520008</v>
      </c>
    </row>
    <row r="424" spans="1:13" ht="24.75" customHeight="1" x14ac:dyDescent="0.2">
      <c r="A424" s="96" t="s">
        <v>714</v>
      </c>
      <c r="B424" s="15" t="s">
        <v>715</v>
      </c>
      <c r="C424" s="15"/>
      <c r="D424" s="19"/>
      <c r="E424" s="18"/>
      <c r="F424" s="18"/>
      <c r="G424" s="19">
        <v>213326.78628468001</v>
      </c>
      <c r="H424" s="19"/>
      <c r="I424" s="18"/>
      <c r="J424" s="19"/>
      <c r="K424" s="19">
        <v>73575.42212280001</v>
      </c>
      <c r="L424" s="19">
        <v>16871.358834719998</v>
      </c>
      <c r="M424" s="97">
        <v>90446.780957520008</v>
      </c>
    </row>
    <row r="425" spans="1:13" ht="24.75" customHeight="1" x14ac:dyDescent="0.2">
      <c r="A425" s="94" t="s">
        <v>716</v>
      </c>
      <c r="B425" s="11" t="s">
        <v>717</v>
      </c>
      <c r="C425" s="12" t="s">
        <v>46</v>
      </c>
      <c r="D425" s="13">
        <v>1150</v>
      </c>
      <c r="E425" s="13">
        <v>11.866655999999999</v>
      </c>
      <c r="F425" s="13">
        <v>14.670746812799999</v>
      </c>
      <c r="G425" s="13">
        <v>16871.358834719998</v>
      </c>
      <c r="H425" s="13">
        <v>0</v>
      </c>
      <c r="I425" s="13">
        <v>1150</v>
      </c>
      <c r="J425" s="13">
        <v>1150</v>
      </c>
      <c r="K425" s="13">
        <v>0</v>
      </c>
      <c r="L425" s="13">
        <v>16871.358834719998</v>
      </c>
      <c r="M425" s="95">
        <v>16871.358834719998</v>
      </c>
    </row>
    <row r="426" spans="1:13" ht="24.75" customHeight="1" x14ac:dyDescent="0.2">
      <c r="A426" s="94" t="s">
        <v>718</v>
      </c>
      <c r="B426" s="11" t="s">
        <v>719</v>
      </c>
      <c r="C426" s="12" t="s">
        <v>720</v>
      </c>
      <c r="D426" s="13">
        <v>20950</v>
      </c>
      <c r="E426" s="13">
        <v>4.9367600000000005</v>
      </c>
      <c r="F426" s="13">
        <v>6.1033163880000005</v>
      </c>
      <c r="G426" s="13">
        <v>127864.47832860002</v>
      </c>
      <c r="H426" s="13">
        <v>8380</v>
      </c>
      <c r="I426" s="13">
        <v>0</v>
      </c>
      <c r="J426" s="13">
        <v>8380</v>
      </c>
      <c r="K426" s="13">
        <v>51145.791331440007</v>
      </c>
      <c r="L426" s="13">
        <v>0</v>
      </c>
      <c r="M426" s="95">
        <v>51145.791331440007</v>
      </c>
    </row>
    <row r="427" spans="1:13" ht="24.75" hidden="1" customHeight="1" x14ac:dyDescent="0.2">
      <c r="A427" s="94" t="s">
        <v>718</v>
      </c>
      <c r="B427" s="11" t="s">
        <v>721</v>
      </c>
      <c r="C427" s="12" t="s">
        <v>28</v>
      </c>
      <c r="D427" s="13">
        <v>321</v>
      </c>
      <c r="E427" s="13">
        <v>97.37</v>
      </c>
      <c r="F427" s="13">
        <v>112.65</v>
      </c>
      <c r="G427" s="13">
        <v>36160.65</v>
      </c>
      <c r="H427" s="13">
        <v>0</v>
      </c>
      <c r="I427" s="13">
        <v>0</v>
      </c>
      <c r="J427" s="13">
        <v>0</v>
      </c>
      <c r="K427" s="13">
        <v>0</v>
      </c>
      <c r="L427" s="13">
        <v>0</v>
      </c>
      <c r="M427" s="95">
        <v>0</v>
      </c>
    </row>
    <row r="428" spans="1:13" ht="24.75" hidden="1" customHeight="1" x14ac:dyDescent="0.2">
      <c r="A428" s="94" t="s">
        <v>722</v>
      </c>
      <c r="B428" s="11" t="s">
        <v>723</v>
      </c>
      <c r="C428" s="12" t="s">
        <v>724</v>
      </c>
      <c r="D428" s="13">
        <v>321</v>
      </c>
      <c r="E428" s="13">
        <v>25.2</v>
      </c>
      <c r="F428" s="13">
        <v>31.154730000000001</v>
      </c>
      <c r="G428" s="13">
        <v>10000.66833</v>
      </c>
      <c r="H428" s="13">
        <v>0</v>
      </c>
      <c r="I428" s="13">
        <v>0</v>
      </c>
      <c r="J428" s="13">
        <v>0</v>
      </c>
      <c r="K428" s="13">
        <v>0</v>
      </c>
      <c r="L428" s="13">
        <v>0</v>
      </c>
      <c r="M428" s="95">
        <v>0</v>
      </c>
    </row>
    <row r="429" spans="1:13" ht="24.75" customHeight="1" x14ac:dyDescent="0.2">
      <c r="A429" s="94" t="s">
        <v>725</v>
      </c>
      <c r="B429" s="11" t="s">
        <v>726</v>
      </c>
      <c r="C429" s="12" t="s">
        <v>46</v>
      </c>
      <c r="D429" s="13">
        <v>360</v>
      </c>
      <c r="E429" s="13">
        <v>29.91752</v>
      </c>
      <c r="F429" s="13">
        <v>36.987029976000002</v>
      </c>
      <c r="G429" s="13">
        <v>13315.33079136</v>
      </c>
      <c r="H429" s="13">
        <v>360</v>
      </c>
      <c r="I429" s="13">
        <v>0</v>
      </c>
      <c r="J429" s="13">
        <v>360</v>
      </c>
      <c r="K429" s="13">
        <v>13315.33079136</v>
      </c>
      <c r="L429" s="13">
        <v>0</v>
      </c>
      <c r="M429" s="95">
        <v>13315.33079136</v>
      </c>
    </row>
    <row r="430" spans="1:13" ht="24.75" customHeight="1" x14ac:dyDescent="0.2">
      <c r="A430" s="94" t="s">
        <v>727</v>
      </c>
      <c r="B430" s="11" t="s">
        <v>615</v>
      </c>
      <c r="C430" s="12" t="s">
        <v>46</v>
      </c>
      <c r="D430" s="13">
        <v>95</v>
      </c>
      <c r="E430" s="13">
        <v>77.601140000000001</v>
      </c>
      <c r="F430" s="13">
        <v>95.94</v>
      </c>
      <c r="G430" s="13">
        <v>9114.2999999999993</v>
      </c>
      <c r="H430" s="13">
        <v>95</v>
      </c>
      <c r="I430" s="13">
        <v>0</v>
      </c>
      <c r="J430" s="13">
        <v>95</v>
      </c>
      <c r="K430" s="13">
        <v>9114.2999999999993</v>
      </c>
      <c r="L430" s="13">
        <v>0</v>
      </c>
      <c r="M430" s="95">
        <v>9114.2999999999993</v>
      </c>
    </row>
    <row r="431" spans="1:13" ht="24.75" customHeight="1" x14ac:dyDescent="0.2">
      <c r="A431" s="96" t="s">
        <v>728</v>
      </c>
      <c r="B431" s="15" t="s">
        <v>729</v>
      </c>
      <c r="C431" s="15"/>
      <c r="D431" s="19"/>
      <c r="E431" s="18"/>
      <c r="F431" s="18"/>
      <c r="G431" s="19">
        <v>593852.59340012155</v>
      </c>
      <c r="H431" s="19"/>
      <c r="I431" s="18"/>
      <c r="J431" s="19"/>
      <c r="K431" s="19">
        <v>473662.2494939274</v>
      </c>
      <c r="L431" s="19">
        <v>53158.66451940054</v>
      </c>
      <c r="M431" s="97">
        <v>526820.91401332791</v>
      </c>
    </row>
    <row r="432" spans="1:13" ht="24.75" customHeight="1" x14ac:dyDescent="0.2">
      <c r="A432" s="96" t="s">
        <v>730</v>
      </c>
      <c r="B432" s="15" t="s">
        <v>731</v>
      </c>
      <c r="C432" s="15"/>
      <c r="D432" s="19"/>
      <c r="E432" s="18"/>
      <c r="F432" s="18"/>
      <c r="G432" s="19">
        <v>213553.22499999998</v>
      </c>
      <c r="H432" s="19"/>
      <c r="I432" s="18"/>
      <c r="J432" s="19"/>
      <c r="K432" s="19">
        <v>210040.71499999997</v>
      </c>
      <c r="L432" s="19">
        <v>0</v>
      </c>
      <c r="M432" s="97">
        <v>210040.71499999997</v>
      </c>
    </row>
    <row r="433" spans="1:13" ht="26.1" customHeight="1" x14ac:dyDescent="0.2">
      <c r="A433" s="94" t="s">
        <v>732</v>
      </c>
      <c r="B433" s="11" t="s">
        <v>733</v>
      </c>
      <c r="C433" s="12" t="s">
        <v>696</v>
      </c>
      <c r="D433" s="13">
        <v>1220</v>
      </c>
      <c r="E433" s="13">
        <v>1.55</v>
      </c>
      <c r="F433" s="13">
        <v>1.91</v>
      </c>
      <c r="G433" s="13">
        <v>2330.1999999999998</v>
      </c>
      <c r="H433" s="13">
        <v>1220</v>
      </c>
      <c r="I433" s="13">
        <v>0</v>
      </c>
      <c r="J433" s="13">
        <v>1220</v>
      </c>
      <c r="K433" s="13">
        <v>2330.1999999999998</v>
      </c>
      <c r="L433" s="13">
        <v>0</v>
      </c>
      <c r="M433" s="95">
        <v>2330.1999999999998</v>
      </c>
    </row>
    <row r="434" spans="1:13" ht="26.1" customHeight="1" x14ac:dyDescent="0.2">
      <c r="A434" s="94" t="s">
        <v>734</v>
      </c>
      <c r="B434" s="11" t="s">
        <v>735</v>
      </c>
      <c r="C434" s="12" t="s">
        <v>28</v>
      </c>
      <c r="D434" s="13">
        <v>12</v>
      </c>
      <c r="E434" s="13">
        <v>227.81</v>
      </c>
      <c r="F434" s="13">
        <v>281.64</v>
      </c>
      <c r="G434" s="13">
        <v>3379.68</v>
      </c>
      <c r="H434" s="13">
        <v>12</v>
      </c>
      <c r="I434" s="13">
        <v>0</v>
      </c>
      <c r="J434" s="13">
        <v>12</v>
      </c>
      <c r="K434" s="13">
        <v>3379.68</v>
      </c>
      <c r="L434" s="13">
        <v>0</v>
      </c>
      <c r="M434" s="95">
        <v>3379.68</v>
      </c>
    </row>
    <row r="435" spans="1:13" ht="39" customHeight="1" x14ac:dyDescent="0.2">
      <c r="A435" s="94" t="s">
        <v>736</v>
      </c>
      <c r="B435" s="11" t="s">
        <v>737</v>
      </c>
      <c r="C435" s="12" t="s">
        <v>28</v>
      </c>
      <c r="D435" s="13">
        <v>9</v>
      </c>
      <c r="E435" s="13">
        <v>93.64</v>
      </c>
      <c r="F435" s="13">
        <v>115.76</v>
      </c>
      <c r="G435" s="13">
        <v>1041.8400000000001</v>
      </c>
      <c r="H435" s="13">
        <v>9</v>
      </c>
      <c r="I435" s="13">
        <v>0</v>
      </c>
      <c r="J435" s="13">
        <v>9</v>
      </c>
      <c r="K435" s="13">
        <v>1041.8400000000001</v>
      </c>
      <c r="L435" s="13">
        <v>0</v>
      </c>
      <c r="M435" s="95">
        <v>1041.8400000000001</v>
      </c>
    </row>
    <row r="436" spans="1:13" ht="39" customHeight="1" x14ac:dyDescent="0.2">
      <c r="A436" s="94" t="s">
        <v>738</v>
      </c>
      <c r="B436" s="11" t="s">
        <v>739</v>
      </c>
      <c r="C436" s="12" t="s">
        <v>28</v>
      </c>
      <c r="D436" s="13">
        <v>21</v>
      </c>
      <c r="E436" s="13">
        <v>144.41999999999999</v>
      </c>
      <c r="F436" s="13">
        <v>178.54</v>
      </c>
      <c r="G436" s="13">
        <v>3749.3399999999997</v>
      </c>
      <c r="H436" s="13">
        <v>21</v>
      </c>
      <c r="I436" s="13">
        <v>0</v>
      </c>
      <c r="J436" s="13">
        <v>21</v>
      </c>
      <c r="K436" s="13">
        <v>3749.3399999999997</v>
      </c>
      <c r="L436" s="13">
        <v>0</v>
      </c>
      <c r="M436" s="95">
        <v>3749.3399999999997</v>
      </c>
    </row>
    <row r="437" spans="1:13" ht="24" customHeight="1" x14ac:dyDescent="0.2">
      <c r="A437" s="94" t="s">
        <v>740</v>
      </c>
      <c r="B437" s="11" t="s">
        <v>741</v>
      </c>
      <c r="C437" s="12" t="s">
        <v>31</v>
      </c>
      <c r="D437" s="13">
        <v>375</v>
      </c>
      <c r="E437" s="13">
        <v>1.62</v>
      </c>
      <c r="F437" s="13">
        <v>2</v>
      </c>
      <c r="G437" s="13">
        <v>750</v>
      </c>
      <c r="H437" s="13">
        <v>375</v>
      </c>
      <c r="I437" s="13">
        <v>0</v>
      </c>
      <c r="J437" s="13">
        <v>375</v>
      </c>
      <c r="K437" s="13">
        <v>750</v>
      </c>
      <c r="L437" s="13">
        <v>0</v>
      </c>
      <c r="M437" s="95">
        <v>750</v>
      </c>
    </row>
    <row r="438" spans="1:13" ht="65.099999999999994" customHeight="1" x14ac:dyDescent="0.2">
      <c r="A438" s="94" t="s">
        <v>742</v>
      </c>
      <c r="B438" s="11" t="s">
        <v>743</v>
      </c>
      <c r="C438" s="12" t="s">
        <v>744</v>
      </c>
      <c r="D438" s="13">
        <v>220</v>
      </c>
      <c r="E438" s="13">
        <v>113.83</v>
      </c>
      <c r="F438" s="13">
        <v>140.72</v>
      </c>
      <c r="G438" s="13">
        <v>30958.400000000001</v>
      </c>
      <c r="H438" s="13">
        <v>220</v>
      </c>
      <c r="I438" s="13">
        <v>0</v>
      </c>
      <c r="J438" s="13">
        <v>220</v>
      </c>
      <c r="K438" s="13">
        <v>30958.400000000001</v>
      </c>
      <c r="L438" s="13">
        <v>0</v>
      </c>
      <c r="M438" s="95">
        <v>30958.400000000001</v>
      </c>
    </row>
    <row r="439" spans="1:13" ht="26.1" customHeight="1" x14ac:dyDescent="0.2">
      <c r="A439" s="94" t="s">
        <v>745</v>
      </c>
      <c r="B439" s="11" t="s">
        <v>746</v>
      </c>
      <c r="C439" s="12" t="s">
        <v>59</v>
      </c>
      <c r="D439" s="13">
        <v>25.3</v>
      </c>
      <c r="E439" s="13">
        <v>490.52</v>
      </c>
      <c r="F439" s="13">
        <v>606.41999999999996</v>
      </c>
      <c r="G439" s="13">
        <v>15342.425999999999</v>
      </c>
      <c r="H439" s="13">
        <v>25.3</v>
      </c>
      <c r="I439" s="13">
        <v>0</v>
      </c>
      <c r="J439" s="13">
        <v>25.3</v>
      </c>
      <c r="K439" s="13">
        <v>15342.425999999999</v>
      </c>
      <c r="L439" s="13">
        <v>0</v>
      </c>
      <c r="M439" s="95">
        <v>15342.425999999999</v>
      </c>
    </row>
    <row r="440" spans="1:13" ht="51.95" hidden="1" customHeight="1" x14ac:dyDescent="0.2">
      <c r="A440" s="94" t="s">
        <v>747</v>
      </c>
      <c r="B440" s="11" t="s">
        <v>748</v>
      </c>
      <c r="C440" s="12" t="s">
        <v>744</v>
      </c>
      <c r="D440" s="13">
        <v>220</v>
      </c>
      <c r="E440" s="13">
        <v>10.24</v>
      </c>
      <c r="F440" s="13">
        <v>12.65</v>
      </c>
      <c r="G440" s="13">
        <v>2783</v>
      </c>
      <c r="H440" s="13">
        <v>0</v>
      </c>
      <c r="I440" s="13">
        <v>0</v>
      </c>
      <c r="J440" s="13">
        <v>0</v>
      </c>
      <c r="K440" s="13">
        <v>0</v>
      </c>
      <c r="L440" s="13">
        <v>0</v>
      </c>
      <c r="M440" s="95">
        <v>0</v>
      </c>
    </row>
    <row r="441" spans="1:13" ht="26.1" customHeight="1" x14ac:dyDescent="0.2">
      <c r="A441" s="94" t="s">
        <v>749</v>
      </c>
      <c r="B441" s="11" t="s">
        <v>750</v>
      </c>
      <c r="C441" s="12" t="s">
        <v>31</v>
      </c>
      <c r="D441" s="13">
        <v>733.86</v>
      </c>
      <c r="E441" s="13">
        <v>2.63</v>
      </c>
      <c r="F441" s="13">
        <v>3.25</v>
      </c>
      <c r="G441" s="13">
        <v>2385.0450000000001</v>
      </c>
      <c r="H441" s="13">
        <v>733.86</v>
      </c>
      <c r="I441" s="13">
        <v>0</v>
      </c>
      <c r="J441" s="13">
        <v>733.86</v>
      </c>
      <c r="K441" s="13">
        <v>2385.0450000000001</v>
      </c>
      <c r="L441" s="13">
        <v>0</v>
      </c>
      <c r="M441" s="95">
        <v>2385.0450000000001</v>
      </c>
    </row>
    <row r="442" spans="1:13" ht="26.1" customHeight="1" x14ac:dyDescent="0.2">
      <c r="A442" s="94" t="s">
        <v>751</v>
      </c>
      <c r="B442" s="11" t="s">
        <v>752</v>
      </c>
      <c r="C442" s="12" t="s">
        <v>31</v>
      </c>
      <c r="D442" s="13">
        <v>15</v>
      </c>
      <c r="E442" s="13">
        <v>7.34</v>
      </c>
      <c r="F442" s="13">
        <v>9.07</v>
      </c>
      <c r="G442" s="13">
        <v>136.05000000000001</v>
      </c>
      <c r="H442" s="13">
        <v>15</v>
      </c>
      <c r="I442" s="13">
        <v>0</v>
      </c>
      <c r="J442" s="13">
        <v>15</v>
      </c>
      <c r="K442" s="13">
        <v>136.05000000000001</v>
      </c>
      <c r="L442" s="13">
        <v>0</v>
      </c>
      <c r="M442" s="95">
        <v>136.05000000000001</v>
      </c>
    </row>
    <row r="443" spans="1:13" ht="26.1" customHeight="1" x14ac:dyDescent="0.2">
      <c r="A443" s="94" t="s">
        <v>753</v>
      </c>
      <c r="B443" s="11" t="s">
        <v>754</v>
      </c>
      <c r="C443" s="12" t="s">
        <v>59</v>
      </c>
      <c r="D443" s="13">
        <v>182.4</v>
      </c>
      <c r="E443" s="13">
        <v>84.77</v>
      </c>
      <c r="F443" s="13">
        <v>104.8</v>
      </c>
      <c r="G443" s="13">
        <v>19115.52</v>
      </c>
      <c r="H443" s="13">
        <v>182.4</v>
      </c>
      <c r="I443" s="13">
        <v>0</v>
      </c>
      <c r="J443" s="13">
        <v>182.4</v>
      </c>
      <c r="K443" s="13">
        <v>19115.52</v>
      </c>
      <c r="L443" s="13">
        <v>0</v>
      </c>
      <c r="M443" s="95">
        <v>19115.52</v>
      </c>
    </row>
    <row r="444" spans="1:13" ht="31.5" customHeight="1" x14ac:dyDescent="0.2">
      <c r="A444" s="98" t="s">
        <v>865</v>
      </c>
      <c r="B444" s="51" t="s">
        <v>866</v>
      </c>
      <c r="C444" s="52" t="s">
        <v>870</v>
      </c>
      <c r="D444" s="53">
        <v>134899.19999999998</v>
      </c>
      <c r="E444" s="53">
        <v>134899.19999999998</v>
      </c>
      <c r="F444" s="63">
        <v>0.97</v>
      </c>
      <c r="G444" s="13">
        <v>130852.22399999997</v>
      </c>
      <c r="H444" s="13">
        <v>134899.19999999998</v>
      </c>
      <c r="I444" s="13">
        <v>0</v>
      </c>
      <c r="J444" s="13">
        <v>134899.19999999998</v>
      </c>
      <c r="K444" s="13">
        <v>130852.22399999997</v>
      </c>
      <c r="L444" s="13">
        <v>0</v>
      </c>
      <c r="M444" s="95">
        <v>130852.22399999997</v>
      </c>
    </row>
    <row r="445" spans="1:13" ht="21.75" hidden="1" customHeight="1" x14ac:dyDescent="0.2">
      <c r="A445" s="98" t="s">
        <v>1280</v>
      </c>
      <c r="B445" s="51" t="s">
        <v>1281</v>
      </c>
      <c r="C445" s="52" t="s">
        <v>31</v>
      </c>
      <c r="D445" s="53">
        <v>50</v>
      </c>
      <c r="E445" s="53"/>
      <c r="F445" s="63">
        <v>14.59</v>
      </c>
      <c r="G445" s="13">
        <v>729.5</v>
      </c>
      <c r="H445" s="13">
        <v>0</v>
      </c>
      <c r="I445" s="13">
        <v>0</v>
      </c>
      <c r="J445" s="13">
        <v>0</v>
      </c>
      <c r="K445" s="13">
        <v>0</v>
      </c>
      <c r="L445" s="13">
        <v>0</v>
      </c>
      <c r="M445" s="95">
        <v>0</v>
      </c>
    </row>
    <row r="446" spans="1:13" ht="24" customHeight="1" x14ac:dyDescent="0.2">
      <c r="A446" s="96" t="s">
        <v>755</v>
      </c>
      <c r="B446" s="15" t="s">
        <v>756</v>
      </c>
      <c r="C446" s="15"/>
      <c r="D446" s="18"/>
      <c r="E446" s="18"/>
      <c r="F446" s="18"/>
      <c r="G446" s="19">
        <v>157889.00890000002</v>
      </c>
      <c r="H446" s="19"/>
      <c r="I446" s="18"/>
      <c r="J446" s="19"/>
      <c r="K446" s="19">
        <v>139491.00328</v>
      </c>
      <c r="L446" s="19">
        <v>12612.097866460001</v>
      </c>
      <c r="M446" s="97">
        <v>152103.10114646002</v>
      </c>
    </row>
    <row r="447" spans="1:13" ht="26.1" customHeight="1" x14ac:dyDescent="0.2">
      <c r="A447" s="94" t="s">
        <v>757</v>
      </c>
      <c r="B447" s="11" t="s">
        <v>758</v>
      </c>
      <c r="C447" s="12" t="s">
        <v>59</v>
      </c>
      <c r="D447" s="13">
        <v>17.18</v>
      </c>
      <c r="E447" s="13">
        <v>568.28</v>
      </c>
      <c r="F447" s="13">
        <v>702.56</v>
      </c>
      <c r="G447" s="13">
        <v>12069.980799999999</v>
      </c>
      <c r="H447" s="13">
        <v>9.5939999999999994</v>
      </c>
      <c r="I447" s="13">
        <v>0</v>
      </c>
      <c r="J447" s="13">
        <v>9.5939999999999994</v>
      </c>
      <c r="K447" s="13">
        <v>6740.360639999999</v>
      </c>
      <c r="L447" s="13">
        <v>0</v>
      </c>
      <c r="M447" s="95">
        <v>6740.360639999999</v>
      </c>
    </row>
    <row r="448" spans="1:13" ht="39" hidden="1" customHeight="1" x14ac:dyDescent="0.2">
      <c r="A448" s="94" t="s">
        <v>759</v>
      </c>
      <c r="B448" s="11" t="s">
        <v>760</v>
      </c>
      <c r="C448" s="12" t="s">
        <v>79</v>
      </c>
      <c r="D448" s="13">
        <v>0</v>
      </c>
      <c r="E448" s="13">
        <v>12.65</v>
      </c>
      <c r="F448" s="13">
        <v>15.63</v>
      </c>
      <c r="G448" s="13">
        <v>0</v>
      </c>
      <c r="H448" s="13">
        <v>0</v>
      </c>
      <c r="I448" s="13">
        <v>0</v>
      </c>
      <c r="J448" s="13">
        <v>0</v>
      </c>
      <c r="K448" s="13">
        <v>0</v>
      </c>
      <c r="L448" s="13">
        <v>0</v>
      </c>
      <c r="M448" s="95">
        <v>0</v>
      </c>
    </row>
    <row r="449" spans="1:13" ht="26.1" customHeight="1" x14ac:dyDescent="0.2">
      <c r="A449" s="94" t="s">
        <v>761</v>
      </c>
      <c r="B449" s="11" t="s">
        <v>762</v>
      </c>
      <c r="C449" s="12" t="s">
        <v>79</v>
      </c>
      <c r="D449" s="13">
        <v>179.25</v>
      </c>
      <c r="E449" s="13">
        <v>13.29</v>
      </c>
      <c r="F449" s="13">
        <v>16.43</v>
      </c>
      <c r="G449" s="13">
        <v>2945.0774999999999</v>
      </c>
      <c r="H449" s="13">
        <v>0</v>
      </c>
      <c r="I449" s="13">
        <v>164</v>
      </c>
      <c r="J449" s="13">
        <v>164</v>
      </c>
      <c r="K449" s="13">
        <v>0</v>
      </c>
      <c r="L449" s="13">
        <v>2694.52</v>
      </c>
      <c r="M449" s="95">
        <v>2694.52</v>
      </c>
    </row>
    <row r="450" spans="1:13" ht="39" customHeight="1" x14ac:dyDescent="0.2">
      <c r="A450" s="94" t="s">
        <v>763</v>
      </c>
      <c r="B450" s="11" t="s">
        <v>764</v>
      </c>
      <c r="C450" s="12" t="s">
        <v>59</v>
      </c>
      <c r="D450" s="13">
        <v>2.39</v>
      </c>
      <c r="E450" s="13">
        <v>624.55999999999995</v>
      </c>
      <c r="F450" s="13">
        <v>772.14</v>
      </c>
      <c r="G450" s="13">
        <v>1845.4146000000001</v>
      </c>
      <c r="H450" s="13">
        <v>0.216</v>
      </c>
      <c r="I450" s="13">
        <v>2.1739890000000002</v>
      </c>
      <c r="J450" s="13">
        <v>2.3899890000000004</v>
      </c>
      <c r="K450" s="13">
        <v>166.78224</v>
      </c>
      <c r="L450" s="13">
        <v>1678.62386646</v>
      </c>
      <c r="M450" s="95">
        <v>1845.4061064600003</v>
      </c>
    </row>
    <row r="451" spans="1:13" ht="51.95" hidden="1" customHeight="1" x14ac:dyDescent="0.2">
      <c r="A451" s="94" t="s">
        <v>765</v>
      </c>
      <c r="B451" s="11" t="s">
        <v>766</v>
      </c>
      <c r="C451" s="12" t="s">
        <v>31</v>
      </c>
      <c r="D451" s="13">
        <v>0</v>
      </c>
      <c r="E451" s="13">
        <v>167.33</v>
      </c>
      <c r="F451" s="13">
        <v>206.87</v>
      </c>
      <c r="G451" s="13">
        <v>0</v>
      </c>
      <c r="H451" s="13">
        <v>0</v>
      </c>
      <c r="I451" s="13">
        <v>0</v>
      </c>
      <c r="J451" s="13">
        <v>0</v>
      </c>
      <c r="K451" s="13">
        <v>0</v>
      </c>
      <c r="L451" s="13">
        <v>0</v>
      </c>
      <c r="M451" s="95">
        <v>0</v>
      </c>
    </row>
    <row r="452" spans="1:13" ht="39" hidden="1" customHeight="1" x14ac:dyDescent="0.2">
      <c r="A452" s="94" t="s">
        <v>767</v>
      </c>
      <c r="B452" s="11" t="s">
        <v>131</v>
      </c>
      <c r="C452" s="12" t="s">
        <v>59</v>
      </c>
      <c r="D452" s="53">
        <v>0</v>
      </c>
      <c r="E452" s="13">
        <v>639.05999999999995</v>
      </c>
      <c r="F452" s="13">
        <v>790.06</v>
      </c>
      <c r="G452" s="13">
        <v>0</v>
      </c>
      <c r="H452" s="13">
        <v>0</v>
      </c>
      <c r="I452" s="13">
        <v>0</v>
      </c>
      <c r="J452" s="13">
        <v>0</v>
      </c>
      <c r="K452" s="13">
        <v>0</v>
      </c>
      <c r="L452" s="13">
        <v>0</v>
      </c>
      <c r="M452" s="95">
        <v>0</v>
      </c>
    </row>
    <row r="453" spans="1:13" ht="26.1" hidden="1" customHeight="1" x14ac:dyDescent="0.2">
      <c r="A453" s="94" t="s">
        <v>768</v>
      </c>
      <c r="B453" s="11" t="s">
        <v>265</v>
      </c>
      <c r="C453" s="12" t="s">
        <v>31</v>
      </c>
      <c r="D453" s="13">
        <v>60.82</v>
      </c>
      <c r="E453" s="13">
        <v>2.74</v>
      </c>
      <c r="F453" s="13">
        <v>3.38</v>
      </c>
      <c r="G453" s="13">
        <v>205.57159999999999</v>
      </c>
      <c r="H453" s="13">
        <v>0</v>
      </c>
      <c r="I453" s="13">
        <v>0</v>
      </c>
      <c r="J453" s="13">
        <v>0</v>
      </c>
      <c r="K453" s="13">
        <v>0</v>
      </c>
      <c r="L453" s="13">
        <v>0</v>
      </c>
      <c r="M453" s="95">
        <v>0</v>
      </c>
    </row>
    <row r="454" spans="1:13" ht="18.75" customHeight="1" x14ac:dyDescent="0.2">
      <c r="A454" s="98" t="s">
        <v>867</v>
      </c>
      <c r="B454" s="51" t="s">
        <v>859</v>
      </c>
      <c r="C454" s="52" t="s">
        <v>31</v>
      </c>
      <c r="D454" s="53">
        <v>445.48</v>
      </c>
      <c r="E454" s="53">
        <v>445.48</v>
      </c>
      <c r="F454" s="63">
        <v>159.19</v>
      </c>
      <c r="G454" s="13">
        <v>70915.961200000005</v>
      </c>
      <c r="H454" s="13">
        <v>445.48</v>
      </c>
      <c r="I454" s="13">
        <v>0</v>
      </c>
      <c r="J454" s="13">
        <v>445.48</v>
      </c>
      <c r="K454" s="13">
        <v>70915.961200000005</v>
      </c>
      <c r="L454" s="13">
        <v>0</v>
      </c>
      <c r="M454" s="95">
        <v>70915.961200000005</v>
      </c>
    </row>
    <row r="455" spans="1:13" ht="42" customHeight="1" x14ac:dyDescent="0.2">
      <c r="A455" s="98" t="s">
        <v>868</v>
      </c>
      <c r="B455" s="51" t="s">
        <v>861</v>
      </c>
      <c r="C455" s="52" t="s">
        <v>59</v>
      </c>
      <c r="D455" s="53">
        <v>45.8</v>
      </c>
      <c r="E455" s="53">
        <v>45.8</v>
      </c>
      <c r="F455" s="63">
        <v>641.38</v>
      </c>
      <c r="G455" s="13">
        <v>29375.203999999998</v>
      </c>
      <c r="H455" s="13">
        <v>45.8</v>
      </c>
      <c r="I455" s="13">
        <v>0</v>
      </c>
      <c r="J455" s="13">
        <v>45.8</v>
      </c>
      <c r="K455" s="13">
        <v>29375.203999999998</v>
      </c>
      <c r="L455" s="13">
        <v>0</v>
      </c>
      <c r="M455" s="95">
        <v>29375.203999999998</v>
      </c>
    </row>
    <row r="456" spans="1:13" ht="39" customHeight="1" x14ac:dyDescent="0.2">
      <c r="A456" s="98" t="s">
        <v>869</v>
      </c>
      <c r="B456" s="51" t="s">
        <v>863</v>
      </c>
      <c r="C456" s="52" t="s">
        <v>31</v>
      </c>
      <c r="D456" s="53">
        <v>445.48</v>
      </c>
      <c r="E456" s="53">
        <v>445.48</v>
      </c>
      <c r="F456" s="63">
        <v>72.489999999999995</v>
      </c>
      <c r="G456" s="13">
        <v>32292.8452</v>
      </c>
      <c r="H456" s="53">
        <v>445.48</v>
      </c>
      <c r="I456" s="13">
        <v>0</v>
      </c>
      <c r="J456" s="13">
        <v>445.48</v>
      </c>
      <c r="K456" s="13">
        <v>32292.8452</v>
      </c>
      <c r="L456" s="13">
        <v>0</v>
      </c>
      <c r="M456" s="95">
        <v>32292.8452</v>
      </c>
    </row>
    <row r="457" spans="1:13" ht="39" customHeight="1" x14ac:dyDescent="0.2">
      <c r="A457" s="98" t="s">
        <v>1282</v>
      </c>
      <c r="B457" s="51" t="s">
        <v>1283</v>
      </c>
      <c r="C457" s="52" t="s">
        <v>31</v>
      </c>
      <c r="D457" s="53">
        <v>126</v>
      </c>
      <c r="E457" s="53"/>
      <c r="F457" s="63">
        <v>51.08</v>
      </c>
      <c r="G457" s="13">
        <v>6436.08</v>
      </c>
      <c r="H457" s="53">
        <v>0</v>
      </c>
      <c r="I457" s="13">
        <v>126</v>
      </c>
      <c r="J457" s="13">
        <v>126</v>
      </c>
      <c r="K457" s="13">
        <v>0</v>
      </c>
      <c r="L457" s="13">
        <v>6436.08</v>
      </c>
      <c r="M457" s="95">
        <v>6436.08</v>
      </c>
    </row>
    <row r="458" spans="1:13" ht="39" customHeight="1" x14ac:dyDescent="0.2">
      <c r="A458" s="98" t="s">
        <v>1284</v>
      </c>
      <c r="B458" s="51" t="s">
        <v>103</v>
      </c>
      <c r="C458" s="52" t="s">
        <v>79</v>
      </c>
      <c r="D458" s="53">
        <v>123.4</v>
      </c>
      <c r="E458" s="53"/>
      <c r="F458" s="63">
        <v>14.61</v>
      </c>
      <c r="G458" s="13">
        <v>1802.874</v>
      </c>
      <c r="H458" s="53">
        <v>0</v>
      </c>
      <c r="I458" s="13">
        <v>123.4</v>
      </c>
      <c r="J458" s="13">
        <v>123.4</v>
      </c>
      <c r="K458" s="13">
        <v>0</v>
      </c>
      <c r="L458" s="13">
        <v>1802.874</v>
      </c>
      <c r="M458" s="95">
        <v>1802.874</v>
      </c>
    </row>
    <row r="459" spans="1:13" ht="24" hidden="1" customHeight="1" x14ac:dyDescent="0.2">
      <c r="A459" s="96" t="s">
        <v>769</v>
      </c>
      <c r="B459" s="15" t="s">
        <v>770</v>
      </c>
      <c r="C459" s="15"/>
      <c r="D459" s="19"/>
      <c r="E459" s="18"/>
      <c r="F459" s="18"/>
      <c r="G459" s="19">
        <v>20039.935600000001</v>
      </c>
      <c r="H459" s="19"/>
      <c r="I459" s="18"/>
      <c r="J459" s="19"/>
      <c r="K459" s="19">
        <v>0</v>
      </c>
      <c r="L459" s="19">
        <v>0</v>
      </c>
      <c r="M459" s="97">
        <v>0</v>
      </c>
    </row>
    <row r="460" spans="1:13" ht="51.95" hidden="1" customHeight="1" x14ac:dyDescent="0.2">
      <c r="A460" s="94" t="s">
        <v>771</v>
      </c>
      <c r="B460" s="11" t="s">
        <v>772</v>
      </c>
      <c r="C460" s="12" t="s">
        <v>31</v>
      </c>
      <c r="D460" s="13">
        <v>60.82</v>
      </c>
      <c r="E460" s="13">
        <v>62.14</v>
      </c>
      <c r="F460" s="13">
        <v>76.819999999999993</v>
      </c>
      <c r="G460" s="13">
        <v>4672.1923999999999</v>
      </c>
      <c r="H460" s="13">
        <v>0</v>
      </c>
      <c r="I460" s="13">
        <v>0</v>
      </c>
      <c r="J460" s="13">
        <v>0</v>
      </c>
      <c r="K460" s="13">
        <v>0</v>
      </c>
      <c r="L460" s="13">
        <v>0</v>
      </c>
      <c r="M460" s="95">
        <v>0</v>
      </c>
    </row>
    <row r="461" spans="1:13" ht="39" hidden="1" customHeight="1" x14ac:dyDescent="0.2">
      <c r="A461" s="94" t="s">
        <v>773</v>
      </c>
      <c r="B461" s="11" t="s">
        <v>774</v>
      </c>
      <c r="C461" s="12" t="s">
        <v>31</v>
      </c>
      <c r="D461" s="13">
        <v>109.6</v>
      </c>
      <c r="E461" s="13">
        <v>42.08</v>
      </c>
      <c r="F461" s="13">
        <v>52.02</v>
      </c>
      <c r="G461" s="13">
        <v>5701.3919999999998</v>
      </c>
      <c r="H461" s="13">
        <v>0</v>
      </c>
      <c r="I461" s="13">
        <v>0</v>
      </c>
      <c r="J461" s="13">
        <v>0</v>
      </c>
      <c r="K461" s="13">
        <v>0</v>
      </c>
      <c r="L461" s="13">
        <v>0</v>
      </c>
      <c r="M461" s="95">
        <v>0</v>
      </c>
    </row>
    <row r="462" spans="1:13" ht="39" hidden="1" customHeight="1" x14ac:dyDescent="0.2">
      <c r="A462" s="94" t="s">
        <v>775</v>
      </c>
      <c r="B462" s="11" t="s">
        <v>776</v>
      </c>
      <c r="C462" s="12" t="s">
        <v>28</v>
      </c>
      <c r="D462" s="13">
        <v>3</v>
      </c>
      <c r="E462" s="13">
        <v>2509.83</v>
      </c>
      <c r="F462" s="13">
        <v>3102.9</v>
      </c>
      <c r="G462" s="13">
        <v>9308.7000000000007</v>
      </c>
      <c r="H462" s="13">
        <v>0</v>
      </c>
      <c r="I462" s="13">
        <v>0</v>
      </c>
      <c r="J462" s="13">
        <v>0</v>
      </c>
      <c r="K462" s="13">
        <v>0</v>
      </c>
      <c r="L462" s="13">
        <v>0</v>
      </c>
      <c r="M462" s="95">
        <v>0</v>
      </c>
    </row>
    <row r="463" spans="1:13" ht="26.1" hidden="1" customHeight="1" x14ac:dyDescent="0.2">
      <c r="A463" s="94" t="s">
        <v>777</v>
      </c>
      <c r="B463" s="11" t="s">
        <v>778</v>
      </c>
      <c r="C463" s="12" t="s">
        <v>46</v>
      </c>
      <c r="D463" s="13">
        <v>13.63</v>
      </c>
      <c r="E463" s="13">
        <v>21.23</v>
      </c>
      <c r="F463" s="13">
        <v>26.24</v>
      </c>
      <c r="G463" s="13">
        <v>357.65120000000002</v>
      </c>
      <c r="H463" s="13">
        <v>0</v>
      </c>
      <c r="I463" s="13">
        <v>0</v>
      </c>
      <c r="J463" s="13">
        <v>0</v>
      </c>
      <c r="K463" s="13">
        <v>0</v>
      </c>
      <c r="L463" s="13">
        <v>0</v>
      </c>
      <c r="M463" s="95">
        <v>0</v>
      </c>
    </row>
    <row r="464" spans="1:13" ht="24" customHeight="1" x14ac:dyDescent="0.2">
      <c r="A464" s="96" t="s">
        <v>779</v>
      </c>
      <c r="B464" s="15" t="s">
        <v>693</v>
      </c>
      <c r="C464" s="15"/>
      <c r="D464" s="19"/>
      <c r="E464" s="18"/>
      <c r="F464" s="18"/>
      <c r="G464" s="19">
        <v>99348.129750054257</v>
      </c>
      <c r="H464" s="19"/>
      <c r="I464" s="18"/>
      <c r="J464" s="19"/>
      <c r="K464" s="19">
        <v>58875.700013927395</v>
      </c>
      <c r="L464" s="19">
        <v>35035.412235935699</v>
      </c>
      <c r="M464" s="97">
        <v>93911.112249863101</v>
      </c>
    </row>
    <row r="465" spans="1:13" ht="39" hidden="1" customHeight="1" x14ac:dyDescent="0.2">
      <c r="A465" s="94" t="s">
        <v>780</v>
      </c>
      <c r="B465" s="11" t="s">
        <v>781</v>
      </c>
      <c r="C465" s="12" t="s">
        <v>28</v>
      </c>
      <c r="D465" s="13">
        <v>1</v>
      </c>
      <c r="E465" s="13">
        <v>431.82557899999995</v>
      </c>
      <c r="F465" s="13">
        <v>533.86596331769988</v>
      </c>
      <c r="G465" s="13">
        <v>533.86596331769988</v>
      </c>
      <c r="H465" s="13">
        <v>0</v>
      </c>
      <c r="I465" s="13">
        <v>0</v>
      </c>
      <c r="J465" s="13">
        <v>0</v>
      </c>
      <c r="K465" s="13">
        <v>0</v>
      </c>
      <c r="L465" s="13">
        <v>0</v>
      </c>
      <c r="M465" s="95">
        <v>0</v>
      </c>
    </row>
    <row r="466" spans="1:13" ht="39" hidden="1" customHeight="1" x14ac:dyDescent="0.2">
      <c r="A466" s="94" t="s">
        <v>782</v>
      </c>
      <c r="B466" s="11" t="s">
        <v>783</v>
      </c>
      <c r="C466" s="12" t="s">
        <v>28</v>
      </c>
      <c r="D466" s="13">
        <v>2</v>
      </c>
      <c r="E466" s="13">
        <v>462.24</v>
      </c>
      <c r="F466" s="13">
        <v>571.46</v>
      </c>
      <c r="G466" s="13">
        <v>1142.92</v>
      </c>
      <c r="H466" s="13">
        <v>0</v>
      </c>
      <c r="I466" s="13">
        <v>0</v>
      </c>
      <c r="J466" s="13">
        <v>0</v>
      </c>
      <c r="K466" s="13">
        <v>0</v>
      </c>
      <c r="L466" s="13">
        <v>0</v>
      </c>
      <c r="M466" s="95">
        <v>0</v>
      </c>
    </row>
    <row r="467" spans="1:13" ht="39" hidden="1" customHeight="1" x14ac:dyDescent="0.2">
      <c r="A467" s="94" t="s">
        <v>784</v>
      </c>
      <c r="B467" s="11" t="s">
        <v>785</v>
      </c>
      <c r="C467" s="12" t="s">
        <v>28</v>
      </c>
      <c r="D467" s="13">
        <v>2</v>
      </c>
      <c r="E467" s="13">
        <v>117.43</v>
      </c>
      <c r="F467" s="13">
        <v>145.16999999999999</v>
      </c>
      <c r="G467" s="13">
        <v>290.33999999999997</v>
      </c>
      <c r="H467" s="13">
        <v>0</v>
      </c>
      <c r="I467" s="13">
        <v>0</v>
      </c>
      <c r="J467" s="13">
        <v>0</v>
      </c>
      <c r="K467" s="13">
        <v>0</v>
      </c>
      <c r="L467" s="13">
        <v>0</v>
      </c>
      <c r="M467" s="95">
        <v>0</v>
      </c>
    </row>
    <row r="468" spans="1:13" ht="26.1" hidden="1" customHeight="1" x14ac:dyDescent="0.2">
      <c r="A468" s="94" t="s">
        <v>786</v>
      </c>
      <c r="B468" s="11" t="s">
        <v>787</v>
      </c>
      <c r="C468" s="12" t="s">
        <v>28</v>
      </c>
      <c r="D468" s="13">
        <v>1</v>
      </c>
      <c r="E468" s="13">
        <v>234.54787420000002</v>
      </c>
      <c r="F468" s="13">
        <v>289.97153687346002</v>
      </c>
      <c r="G468" s="13">
        <v>289.97153687346002</v>
      </c>
      <c r="H468" s="13">
        <v>0</v>
      </c>
      <c r="I468" s="13">
        <v>0</v>
      </c>
      <c r="J468" s="13">
        <v>0</v>
      </c>
      <c r="K468" s="13">
        <v>0</v>
      </c>
      <c r="L468" s="13">
        <v>0</v>
      </c>
      <c r="M468" s="95">
        <v>0</v>
      </c>
    </row>
    <row r="469" spans="1:13" ht="51.95" hidden="1" customHeight="1" x14ac:dyDescent="0.2">
      <c r="A469" s="94" t="s">
        <v>788</v>
      </c>
      <c r="B469" s="11" t="s">
        <v>789</v>
      </c>
      <c r="C469" s="12" t="s">
        <v>28</v>
      </c>
      <c r="D469" s="13">
        <v>1</v>
      </c>
      <c r="E469" s="13">
        <v>217.88</v>
      </c>
      <c r="F469" s="13">
        <v>269.36</v>
      </c>
      <c r="G469" s="13">
        <v>269.36</v>
      </c>
      <c r="H469" s="13">
        <v>0</v>
      </c>
      <c r="I469" s="13">
        <v>0</v>
      </c>
      <c r="J469" s="13">
        <v>0</v>
      </c>
      <c r="K469" s="13">
        <v>0</v>
      </c>
      <c r="L469" s="13">
        <v>0</v>
      </c>
      <c r="M469" s="95">
        <v>0</v>
      </c>
    </row>
    <row r="470" spans="1:13" ht="39" hidden="1" customHeight="1" x14ac:dyDescent="0.2">
      <c r="A470" s="94" t="s">
        <v>790</v>
      </c>
      <c r="B470" s="11" t="s">
        <v>368</v>
      </c>
      <c r="C470" s="12" t="s">
        <v>28</v>
      </c>
      <c r="D470" s="13">
        <v>1</v>
      </c>
      <c r="E470" s="13">
        <v>129.68</v>
      </c>
      <c r="F470" s="13">
        <v>160.32</v>
      </c>
      <c r="G470" s="13">
        <v>160.32</v>
      </c>
      <c r="H470" s="13">
        <v>0</v>
      </c>
      <c r="I470" s="13">
        <v>0</v>
      </c>
      <c r="J470" s="13">
        <v>0</v>
      </c>
      <c r="K470" s="13">
        <v>0</v>
      </c>
      <c r="L470" s="13">
        <v>0</v>
      </c>
      <c r="M470" s="95">
        <v>0</v>
      </c>
    </row>
    <row r="471" spans="1:13" ht="26.1" customHeight="1" x14ac:dyDescent="0.2">
      <c r="A471" s="94" t="s">
        <v>791</v>
      </c>
      <c r="B471" s="11" t="s">
        <v>792</v>
      </c>
      <c r="C471" s="12" t="s">
        <v>59</v>
      </c>
      <c r="D471" s="13">
        <v>2.58</v>
      </c>
      <c r="E471" s="13">
        <v>915.49</v>
      </c>
      <c r="F471" s="13">
        <v>1131.82</v>
      </c>
      <c r="G471" s="13">
        <v>2920.0956000000001</v>
      </c>
      <c r="H471" s="13">
        <v>2.58</v>
      </c>
      <c r="I471" s="13">
        <v>0</v>
      </c>
      <c r="J471" s="13">
        <v>2.58</v>
      </c>
      <c r="K471" s="13">
        <v>2920.0956000000001</v>
      </c>
      <c r="L471" s="13">
        <v>0</v>
      </c>
      <c r="M471" s="95">
        <v>2920.0956000000001</v>
      </c>
    </row>
    <row r="472" spans="1:13" ht="36" customHeight="1" x14ac:dyDescent="0.2">
      <c r="A472" s="94" t="s">
        <v>793</v>
      </c>
      <c r="B472" s="11" t="s">
        <v>794</v>
      </c>
      <c r="C472" s="12" t="s">
        <v>59</v>
      </c>
      <c r="D472" s="13">
        <v>3.75</v>
      </c>
      <c r="E472" s="13">
        <v>799.93</v>
      </c>
      <c r="F472" s="13">
        <v>988.95</v>
      </c>
      <c r="G472" s="13">
        <v>3708.5625</v>
      </c>
      <c r="H472" s="13">
        <v>3.2</v>
      </c>
      <c r="I472" s="13">
        <v>0.55000000000000004</v>
      </c>
      <c r="J472" s="13">
        <v>3.75</v>
      </c>
      <c r="K472" s="13">
        <v>3164.6400000000003</v>
      </c>
      <c r="L472" s="13">
        <v>543.92250000000001</v>
      </c>
      <c r="M472" s="95">
        <v>3708.5625</v>
      </c>
    </row>
    <row r="473" spans="1:13" ht="26.1" customHeight="1" x14ac:dyDescent="0.2">
      <c r="A473" s="94" t="s">
        <v>795</v>
      </c>
      <c r="B473" s="11" t="s">
        <v>796</v>
      </c>
      <c r="C473" s="12" t="s">
        <v>31</v>
      </c>
      <c r="D473" s="13">
        <v>15.2</v>
      </c>
      <c r="E473" s="13">
        <v>224.66</v>
      </c>
      <c r="F473" s="13">
        <v>277.74</v>
      </c>
      <c r="G473" s="13">
        <v>4221.6480000000001</v>
      </c>
      <c r="H473" s="13">
        <v>15.2</v>
      </c>
      <c r="I473" s="13">
        <v>0</v>
      </c>
      <c r="J473" s="13">
        <v>15.2</v>
      </c>
      <c r="K473" s="13">
        <v>4221.6480000000001</v>
      </c>
      <c r="L473" s="13">
        <v>0</v>
      </c>
      <c r="M473" s="95">
        <v>4221.6480000000001</v>
      </c>
    </row>
    <row r="474" spans="1:13" ht="26.1" customHeight="1" x14ac:dyDescent="0.2">
      <c r="A474" s="94" t="s">
        <v>797</v>
      </c>
      <c r="B474" s="11" t="s">
        <v>798</v>
      </c>
      <c r="C474" s="12" t="s">
        <v>31</v>
      </c>
      <c r="D474" s="13">
        <v>152.99</v>
      </c>
      <c r="E474" s="13">
        <v>439.14629999999994</v>
      </c>
      <c r="F474" s="13">
        <v>542.91657068999996</v>
      </c>
      <c r="G474" s="13">
        <v>83060.8061498631</v>
      </c>
      <c r="H474" s="13">
        <v>89.46</v>
      </c>
      <c r="I474" s="13">
        <v>63.53</v>
      </c>
      <c r="J474" s="13">
        <v>152.99</v>
      </c>
      <c r="K474" s="13">
        <v>48569.316413927394</v>
      </c>
      <c r="L474" s="13">
        <v>34491.489735935698</v>
      </c>
      <c r="M474" s="95">
        <v>83060.8061498631</v>
      </c>
    </row>
    <row r="475" spans="1:13" ht="26.1" hidden="1" customHeight="1" x14ac:dyDescent="0.2">
      <c r="A475" s="94" t="s">
        <v>799</v>
      </c>
      <c r="B475" s="11" t="s">
        <v>800</v>
      </c>
      <c r="C475" s="12" t="s">
        <v>31</v>
      </c>
      <c r="D475" s="13">
        <v>4</v>
      </c>
      <c r="E475" s="13">
        <v>556.15</v>
      </c>
      <c r="F475" s="13">
        <v>687.56</v>
      </c>
      <c r="G475" s="13">
        <v>2750.24</v>
      </c>
      <c r="H475" s="13">
        <v>0</v>
      </c>
      <c r="I475" s="13">
        <v>0</v>
      </c>
      <c r="J475" s="13">
        <v>0</v>
      </c>
      <c r="K475" s="13">
        <v>0</v>
      </c>
      <c r="L475" s="13">
        <v>0</v>
      </c>
      <c r="M475" s="95">
        <v>0</v>
      </c>
    </row>
    <row r="476" spans="1:13" ht="24" customHeight="1" x14ac:dyDescent="0.2">
      <c r="A476" s="96" t="s">
        <v>801</v>
      </c>
      <c r="B476" s="15" t="s">
        <v>802</v>
      </c>
      <c r="C476" s="15"/>
      <c r="D476" s="19"/>
      <c r="E476" s="18"/>
      <c r="F476" s="18"/>
      <c r="G476" s="19">
        <v>103022.29415006725</v>
      </c>
      <c r="H476" s="19"/>
      <c r="I476" s="18"/>
      <c r="J476" s="19"/>
      <c r="K476" s="19">
        <v>65254.831200000001</v>
      </c>
      <c r="L476" s="19">
        <v>5511.1544170048473</v>
      </c>
      <c r="M476" s="97">
        <v>70765.985617004844</v>
      </c>
    </row>
    <row r="477" spans="1:13" ht="51.95" customHeight="1" x14ac:dyDescent="0.2">
      <c r="A477" s="94" t="s">
        <v>803</v>
      </c>
      <c r="B477" s="11" t="s">
        <v>804</v>
      </c>
      <c r="C477" s="12" t="s">
        <v>31</v>
      </c>
      <c r="D477" s="13">
        <v>733.86</v>
      </c>
      <c r="E477" s="13">
        <v>3.73</v>
      </c>
      <c r="F477" s="13">
        <v>4.6100000000000003</v>
      </c>
      <c r="G477" s="13">
        <v>3383.0946000000004</v>
      </c>
      <c r="H477" s="13">
        <v>733.86</v>
      </c>
      <c r="I477" s="13">
        <v>0</v>
      </c>
      <c r="J477" s="13">
        <v>733.86</v>
      </c>
      <c r="K477" s="13">
        <v>3383.0946000000004</v>
      </c>
      <c r="L477" s="13">
        <v>0</v>
      </c>
      <c r="M477" s="95">
        <v>3383.0946000000004</v>
      </c>
    </row>
    <row r="478" spans="1:13" ht="65.099999999999994" customHeight="1" x14ac:dyDescent="0.2">
      <c r="A478" s="94" t="s">
        <v>805</v>
      </c>
      <c r="B478" s="11" t="s">
        <v>806</v>
      </c>
      <c r="C478" s="12" t="s">
        <v>31</v>
      </c>
      <c r="D478" s="13">
        <v>733.86</v>
      </c>
      <c r="E478" s="13">
        <v>68.2</v>
      </c>
      <c r="F478" s="13">
        <v>84.31</v>
      </c>
      <c r="G478" s="13">
        <v>61871.736600000004</v>
      </c>
      <c r="H478" s="13">
        <v>733.86</v>
      </c>
      <c r="I478" s="13">
        <v>0</v>
      </c>
      <c r="J478" s="13">
        <v>733.86</v>
      </c>
      <c r="K478" s="13">
        <v>61871.736600000004</v>
      </c>
      <c r="L478" s="13">
        <v>0</v>
      </c>
      <c r="M478" s="95">
        <v>61871.736600000004</v>
      </c>
    </row>
    <row r="479" spans="1:13" ht="24" customHeight="1" x14ac:dyDescent="0.2">
      <c r="A479" s="96" t="s">
        <v>807</v>
      </c>
      <c r="B479" s="15" t="s">
        <v>204</v>
      </c>
      <c r="C479" s="15"/>
      <c r="D479" s="19"/>
      <c r="E479" s="18"/>
      <c r="F479" s="18"/>
      <c r="G479" s="19">
        <v>37767.462950067245</v>
      </c>
      <c r="H479" s="19"/>
      <c r="I479" s="18"/>
      <c r="J479" s="19"/>
      <c r="K479" s="19">
        <v>0</v>
      </c>
      <c r="L479" s="19">
        <v>5511.1544170048473</v>
      </c>
      <c r="M479" s="97">
        <v>5511.1544170048473</v>
      </c>
    </row>
    <row r="480" spans="1:13" ht="39" customHeight="1" x14ac:dyDescent="0.2">
      <c r="A480" s="94" t="s">
        <v>808</v>
      </c>
      <c r="B480" s="11" t="s">
        <v>216</v>
      </c>
      <c r="C480" s="12" t="s">
        <v>31</v>
      </c>
      <c r="D480" s="13">
        <v>247.89</v>
      </c>
      <c r="E480" s="13">
        <v>3.5169600000000001</v>
      </c>
      <c r="F480" s="13">
        <v>4.3480176479999999</v>
      </c>
      <c r="G480" s="13">
        <v>1077.8300947627199</v>
      </c>
      <c r="H480" s="13">
        <v>0</v>
      </c>
      <c r="I480" s="13">
        <v>247.89</v>
      </c>
      <c r="J480" s="13">
        <v>247.89</v>
      </c>
      <c r="K480" s="13">
        <v>0</v>
      </c>
      <c r="L480" s="13">
        <v>1077.8300947627199</v>
      </c>
      <c r="M480" s="95">
        <v>1077.8300947627199</v>
      </c>
    </row>
    <row r="481" spans="1:13" ht="39" customHeight="1" x14ac:dyDescent="0.2">
      <c r="A481" s="94" t="s">
        <v>809</v>
      </c>
      <c r="B481" s="11" t="s">
        <v>810</v>
      </c>
      <c r="C481" s="12" t="s">
        <v>31</v>
      </c>
      <c r="D481" s="13">
        <v>247.89</v>
      </c>
      <c r="E481" s="13">
        <v>14.465938911999999</v>
      </c>
      <c r="F481" s="13">
        <v>17.884240276905597</v>
      </c>
      <c r="G481" s="13">
        <v>4433.3243222421279</v>
      </c>
      <c r="H481" s="13">
        <v>0</v>
      </c>
      <c r="I481" s="13">
        <v>247.89</v>
      </c>
      <c r="J481" s="13">
        <v>247.89</v>
      </c>
      <c r="K481" s="13">
        <v>0</v>
      </c>
      <c r="L481" s="13">
        <v>4433.3243222421279</v>
      </c>
      <c r="M481" s="95">
        <v>4433.3243222421279</v>
      </c>
    </row>
    <row r="482" spans="1:13" ht="39" hidden="1" customHeight="1" x14ac:dyDescent="0.2">
      <c r="A482" s="94" t="s">
        <v>811</v>
      </c>
      <c r="B482" s="11" t="s">
        <v>812</v>
      </c>
      <c r="C482" s="12" t="s">
        <v>31</v>
      </c>
      <c r="D482" s="13">
        <v>247.89</v>
      </c>
      <c r="E482" s="13">
        <f>[1]CPUs!I3627</f>
        <v>9.5299999999999994</v>
      </c>
      <c r="F482" s="13">
        <v>11.78</v>
      </c>
      <c r="G482" s="13">
        <f>D482*F482</f>
        <v>2920.1441999999997</v>
      </c>
      <c r="H482" s="13">
        <v>0</v>
      </c>
      <c r="I482" s="13">
        <v>0</v>
      </c>
      <c r="J482" s="13">
        <f>H482+I482</f>
        <v>0</v>
      </c>
      <c r="K482" s="13">
        <f>H482*F482</f>
        <v>0</v>
      </c>
      <c r="L482" s="13">
        <f>I482*F482</f>
        <v>0</v>
      </c>
      <c r="M482" s="95">
        <f>J482*F482</f>
        <v>0</v>
      </c>
    </row>
    <row r="483" spans="1:13" ht="26.1" hidden="1" customHeight="1" x14ac:dyDescent="0.2">
      <c r="A483" s="94" t="s">
        <v>813</v>
      </c>
      <c r="B483" s="11" t="s">
        <v>814</v>
      </c>
      <c r="C483" s="12" t="s">
        <v>31</v>
      </c>
      <c r="D483" s="13">
        <v>605.35</v>
      </c>
      <c r="E483" s="13">
        <f>[1]CPUs!I3635</f>
        <v>38.657279999999993</v>
      </c>
      <c r="F483" s="13">
        <v>47.791995263999993</v>
      </c>
      <c r="G483" s="13">
        <f>D483*F483</f>
        <v>28930.884333062397</v>
      </c>
      <c r="H483" s="13">
        <v>0</v>
      </c>
      <c r="I483" s="13">
        <v>0</v>
      </c>
      <c r="J483" s="13">
        <f>H483+I483</f>
        <v>0</v>
      </c>
      <c r="K483" s="13">
        <f>H483*F483</f>
        <v>0</v>
      </c>
      <c r="L483" s="13">
        <f>I483*F483</f>
        <v>0</v>
      </c>
      <c r="M483" s="95">
        <f>J483*F483</f>
        <v>0</v>
      </c>
    </row>
    <row r="484" spans="1:13" ht="51.95" hidden="1" customHeight="1" x14ac:dyDescent="0.2">
      <c r="A484" s="94" t="s">
        <v>815</v>
      </c>
      <c r="B484" s="11" t="s">
        <v>816</v>
      </c>
      <c r="C484" s="12" t="s">
        <v>31</v>
      </c>
      <c r="D484" s="13">
        <v>8</v>
      </c>
      <c r="E484" s="13">
        <f>[1]CPUs!I3643</f>
        <v>40.98</v>
      </c>
      <c r="F484" s="13">
        <v>50.66</v>
      </c>
      <c r="G484" s="13">
        <f>D484*F484</f>
        <v>405.28</v>
      </c>
      <c r="H484" s="13">
        <v>0</v>
      </c>
      <c r="I484" s="13">
        <v>0</v>
      </c>
      <c r="J484" s="13">
        <f>H484+I484</f>
        <v>0</v>
      </c>
      <c r="K484" s="13">
        <f>H484*F484</f>
        <v>0</v>
      </c>
      <c r="L484" s="13">
        <f>I484*F484</f>
        <v>0</v>
      </c>
      <c r="M484" s="95">
        <f>J484*F484</f>
        <v>0</v>
      </c>
    </row>
    <row r="485" spans="1:13" ht="24" hidden="1" customHeight="1" x14ac:dyDescent="0.2">
      <c r="A485" s="96" t="s">
        <v>817</v>
      </c>
      <c r="B485" s="15" t="s">
        <v>818</v>
      </c>
      <c r="C485" s="15"/>
      <c r="D485" s="19"/>
      <c r="E485" s="18"/>
      <c r="F485" s="18"/>
      <c r="G485" s="19">
        <f>SUM(G486)</f>
        <v>21840.698364907501</v>
      </c>
      <c r="H485" s="19"/>
      <c r="I485" s="18"/>
      <c r="J485" s="19"/>
      <c r="K485" s="19">
        <f>SUM(K486)</f>
        <v>0</v>
      </c>
      <c r="L485" s="19">
        <f>SUM(L486)</f>
        <v>0</v>
      </c>
      <c r="M485" s="97">
        <f>SUM(M486)</f>
        <v>0</v>
      </c>
    </row>
    <row r="486" spans="1:13" ht="24" hidden="1" customHeight="1" x14ac:dyDescent="0.2">
      <c r="A486" s="150" t="s">
        <v>819</v>
      </c>
      <c r="B486" s="151" t="s">
        <v>818</v>
      </c>
      <c r="C486" s="152" t="s">
        <v>31</v>
      </c>
      <c r="D486" s="153">
        <v>6160.83</v>
      </c>
      <c r="E486" s="153">
        <f>[1]CPUs!I3651</f>
        <v>2.8675000000000002</v>
      </c>
      <c r="F486" s="153">
        <v>3.5450902500000003</v>
      </c>
      <c r="G486" s="153">
        <f>(D486*F486)</f>
        <v>21840.698364907501</v>
      </c>
      <c r="H486" s="153">
        <v>0</v>
      </c>
      <c r="I486" s="153">
        <v>0</v>
      </c>
      <c r="J486" s="153">
        <f>H486+I486</f>
        <v>0</v>
      </c>
      <c r="K486" s="153">
        <f>H486*F486</f>
        <v>0</v>
      </c>
      <c r="L486" s="153">
        <f>I486*F486</f>
        <v>0</v>
      </c>
      <c r="M486" s="154">
        <f>J486*F486</f>
        <v>0</v>
      </c>
    </row>
    <row r="487" spans="1:13" ht="20.25" customHeight="1" x14ac:dyDescent="0.2">
      <c r="A487" s="219" t="s">
        <v>20</v>
      </c>
      <c r="B487" s="219"/>
      <c r="C487" s="219"/>
      <c r="D487" s="219"/>
      <c r="E487" s="219"/>
      <c r="F487" s="219"/>
      <c r="G487" s="20">
        <f>(G13+G18+G26+G30+G65+G96+G103+G107+G121+G134+G144+G152+G168+G170+G192+G194+G208+G269+G389+G394+G414+G419+G423+G431+G485)</f>
        <v>23476919.355948843</v>
      </c>
      <c r="H487" s="21"/>
      <c r="I487" s="21"/>
      <c r="J487" s="21"/>
      <c r="K487" s="20">
        <f>(K13+K18+K26+K30+K65+K96+K103+K107+K121+K134+K144+K152+K168+K170+K192+K194+K208+K269+K389+K394+K414+K419+K423+K431+K485)-0.02</f>
        <v>20040008.170946527</v>
      </c>
      <c r="L487" s="20">
        <f>L13+L18+L26+L30+L65+L96+L103+L107+L121+L134+L144+L152+L168+L170+L192+L194+L208+L269+L389+L394+L414+L419+L423+L431+L485</f>
        <v>1338911.9215078524</v>
      </c>
      <c r="M487" s="20">
        <f>(M13+M18+M26+M30+M65+M96+M103+M107+M121+M134+M144+M152+M168+M170+M192+M194+M208+M269+M389+M394+M414+M419+M423+M431+M485)</f>
        <v>21378920.112454381</v>
      </c>
    </row>
    <row r="488" spans="1:13" ht="26.25" customHeight="1" x14ac:dyDescent="0.2">
      <c r="A488" s="22"/>
      <c r="B488" s="23"/>
      <c r="C488" s="22"/>
      <c r="D488" s="220"/>
      <c r="E488" s="221"/>
      <c r="F488" s="222"/>
      <c r="G488" s="221"/>
      <c r="H488" s="24"/>
      <c r="I488" s="22"/>
      <c r="J488" s="22"/>
      <c r="K488" s="24"/>
      <c r="L488" s="22"/>
      <c r="M488" s="22"/>
    </row>
    <row r="489" spans="1:13" x14ac:dyDescent="0.2">
      <c r="A489" s="22"/>
      <c r="B489" s="22"/>
      <c r="C489" s="22"/>
      <c r="D489" s="22"/>
      <c r="E489" s="22"/>
      <c r="F489" s="22"/>
      <c r="G489" s="22"/>
      <c r="H489" s="22"/>
      <c r="I489" s="22"/>
      <c r="J489" s="22"/>
      <c r="K489" s="22"/>
      <c r="L489" s="22"/>
      <c r="M489" s="22"/>
    </row>
    <row r="490" spans="1:13" x14ac:dyDescent="0.2">
      <c r="A490" s="223"/>
      <c r="B490" s="224"/>
      <c r="C490" s="224"/>
      <c r="D490" s="224"/>
      <c r="E490" s="224"/>
      <c r="F490" s="224"/>
      <c r="G490" s="224"/>
      <c r="H490" s="25"/>
      <c r="I490" s="25"/>
      <c r="J490" s="25"/>
      <c r="K490" s="66"/>
      <c r="L490" s="25"/>
      <c r="M490" s="25"/>
    </row>
    <row r="491" spans="1:13" x14ac:dyDescent="0.2">
      <c r="A491" s="25"/>
      <c r="B491" s="25"/>
      <c r="C491" s="25"/>
      <c r="D491" s="25"/>
      <c r="E491" s="25"/>
      <c r="F491" s="25"/>
      <c r="G491" s="25"/>
      <c r="H491" s="25"/>
      <c r="I491" s="25"/>
      <c r="J491" s="25"/>
      <c r="K491" s="25"/>
      <c r="L491" s="25"/>
      <c r="M491" s="25"/>
    </row>
  </sheetData>
  <mergeCells count="33">
    <mergeCell ref="A487:F487"/>
    <mergeCell ref="D488:E488"/>
    <mergeCell ref="F488:G488"/>
    <mergeCell ref="A490:G490"/>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horizontalDpi="360" verticalDpi="360"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BB68-B1C3-4693-9842-AB2CC9556DBD}">
  <sheetPr>
    <tabColor theme="9" tint="-0.499984740745262"/>
  </sheetPr>
  <dimension ref="A1:D130"/>
  <sheetViews>
    <sheetView view="pageBreakPreview" zoomScale="95" zoomScaleNormal="95" zoomScaleSheetLayoutView="95" workbookViewId="0">
      <selection activeCell="E1" sqref="E1:E1048576"/>
    </sheetView>
  </sheetViews>
  <sheetFormatPr defaultColWidth="9" defaultRowHeight="12.75" x14ac:dyDescent="0.2"/>
  <cols>
    <col min="1" max="1" width="14.625" style="31" customWidth="1"/>
    <col min="2" max="2" width="21.125" style="31" customWidth="1"/>
    <col min="3" max="3" width="20.75" style="31" customWidth="1"/>
    <col min="4" max="4" width="24.625" style="38" customWidth="1"/>
    <col min="5" max="16384" width="9" style="29"/>
  </cols>
  <sheetData>
    <row r="1" spans="1:4" x14ac:dyDescent="0.2">
      <c r="A1" s="34"/>
      <c r="B1" s="34"/>
      <c r="C1" s="35"/>
      <c r="D1" s="54"/>
    </row>
    <row r="2" spans="1:4" x14ac:dyDescent="0.2">
      <c r="A2" s="34" t="s">
        <v>820</v>
      </c>
      <c r="B2" s="34"/>
      <c r="C2" s="35"/>
      <c r="D2" s="54"/>
    </row>
    <row r="3" spans="1:4" x14ac:dyDescent="0.2">
      <c r="A3" s="34" t="s">
        <v>2</v>
      </c>
      <c r="B3" s="34"/>
      <c r="C3" s="35"/>
      <c r="D3" s="54"/>
    </row>
    <row r="4" spans="1:4" x14ac:dyDescent="0.2">
      <c r="A4" s="34" t="s">
        <v>1348</v>
      </c>
      <c r="B4" s="34"/>
      <c r="C4" s="35"/>
      <c r="D4" s="35"/>
    </row>
    <row r="5" spans="1:4" ht="13.5" thickBot="1" x14ac:dyDescent="0.25">
      <c r="A5" s="34"/>
      <c r="B5" s="34"/>
      <c r="C5" s="35"/>
      <c r="D5" s="54"/>
    </row>
    <row r="6" spans="1:4" s="39" customFormat="1" ht="21" customHeight="1" thickBot="1" x14ac:dyDescent="0.25">
      <c r="A6" s="273" t="s">
        <v>1352</v>
      </c>
      <c r="B6" s="251"/>
      <c r="C6" s="251"/>
      <c r="D6" s="274"/>
    </row>
    <row r="7" spans="1:4" x14ac:dyDescent="0.2">
      <c r="A7" s="30"/>
      <c r="D7" s="32"/>
    </row>
    <row r="8" spans="1:4" ht="17.25" customHeight="1" x14ac:dyDescent="0.2">
      <c r="A8" s="40" t="s">
        <v>1519</v>
      </c>
      <c r="B8" s="234" t="s">
        <v>271</v>
      </c>
      <c r="C8" s="234"/>
      <c r="D8" s="234"/>
    </row>
    <row r="9" spans="1:4" ht="6.75" customHeight="1" x14ac:dyDescent="0.2">
      <c r="A9" s="303"/>
      <c r="B9" s="304"/>
      <c r="C9" s="114"/>
      <c r="D9" s="105"/>
    </row>
    <row r="10" spans="1:4" s="39" customFormat="1" ht="43.5" hidden="1" customHeight="1" x14ac:dyDescent="0.2">
      <c r="A10" s="41" t="s">
        <v>1520</v>
      </c>
      <c r="B10" s="235" t="s">
        <v>276</v>
      </c>
      <c r="C10" s="235"/>
      <c r="D10" s="235"/>
    </row>
    <row r="11" spans="1:4" ht="14.25" hidden="1" customHeight="1" x14ac:dyDescent="0.2">
      <c r="A11" s="267" t="s">
        <v>1521</v>
      </c>
      <c r="B11" s="268"/>
      <c r="C11" s="45" t="s">
        <v>878</v>
      </c>
      <c r="D11" s="108" t="s">
        <v>1086</v>
      </c>
    </row>
    <row r="12" spans="1:4" s="39" customFormat="1" ht="14.25" hidden="1" customHeight="1" x14ac:dyDescent="0.2">
      <c r="A12" s="103" t="s">
        <v>1081</v>
      </c>
      <c r="B12" s="48" t="s">
        <v>1522</v>
      </c>
      <c r="C12" s="111">
        <v>1</v>
      </c>
      <c r="D12" s="112">
        <f t="shared" ref="D12:D13" si="0">C12</f>
        <v>1</v>
      </c>
    </row>
    <row r="13" spans="1:4" s="39" customFormat="1" ht="14.25" hidden="1" customHeight="1" x14ac:dyDescent="0.2">
      <c r="A13" s="103" t="s">
        <v>1032</v>
      </c>
      <c r="B13" s="48" t="s">
        <v>1523</v>
      </c>
      <c r="C13" s="111">
        <v>1</v>
      </c>
      <c r="D13" s="112">
        <f t="shared" si="0"/>
        <v>1</v>
      </c>
    </row>
    <row r="14" spans="1:4" ht="14.25" hidden="1" customHeight="1" x14ac:dyDescent="0.2">
      <c r="A14" s="228" t="s">
        <v>1599</v>
      </c>
      <c r="B14" s="229"/>
      <c r="C14" s="229"/>
      <c r="D14" s="58">
        <f>SUM(D12:D13)</f>
        <v>2</v>
      </c>
    </row>
    <row r="15" spans="1:4" ht="14.25" hidden="1" customHeight="1" x14ac:dyDescent="0.2">
      <c r="A15" s="228" t="s">
        <v>1524</v>
      </c>
      <c r="B15" s="229"/>
      <c r="C15" s="229"/>
      <c r="D15" s="58">
        <f>'[2]Planilha Final'!E210</f>
        <v>4</v>
      </c>
    </row>
    <row r="16" spans="1:4" ht="14.25" hidden="1" customHeight="1" x14ac:dyDescent="0.2">
      <c r="A16" s="230" t="s">
        <v>1600</v>
      </c>
      <c r="B16" s="231"/>
      <c r="C16" s="231"/>
      <c r="D16" s="65">
        <f>D15-D14</f>
        <v>2</v>
      </c>
    </row>
    <row r="17" spans="1:4" ht="14.25" hidden="1" customHeight="1" x14ac:dyDescent="0.2">
      <c r="A17" s="241" t="s">
        <v>1601</v>
      </c>
      <c r="B17" s="242"/>
      <c r="C17" s="242"/>
      <c r="D17" s="59">
        <f>D16-D15</f>
        <v>-2</v>
      </c>
    </row>
    <row r="18" spans="1:4" s="39" customFormat="1" ht="14.25" hidden="1" customHeight="1" x14ac:dyDescent="0.2">
      <c r="A18" s="102"/>
      <c r="B18" s="140"/>
      <c r="C18" s="111"/>
      <c r="D18" s="112"/>
    </row>
    <row r="19" spans="1:4" s="39" customFormat="1" ht="58.5" customHeight="1" x14ac:dyDescent="0.2">
      <c r="A19" s="41" t="s">
        <v>1527</v>
      </c>
      <c r="B19" s="235" t="s">
        <v>1226</v>
      </c>
      <c r="C19" s="235"/>
      <c r="D19" s="235"/>
    </row>
    <row r="20" spans="1:4" ht="14.25" customHeight="1" x14ac:dyDescent="0.2">
      <c r="A20" s="44" t="s">
        <v>821</v>
      </c>
      <c r="B20" s="45" t="s">
        <v>878</v>
      </c>
      <c r="C20" s="45" t="s">
        <v>822</v>
      </c>
      <c r="D20" s="108" t="s">
        <v>898</v>
      </c>
    </row>
    <row r="21" spans="1:4" s="39" customFormat="1" ht="14.25" customHeight="1" x14ac:dyDescent="0.2">
      <c r="A21" s="103" t="s">
        <v>1287</v>
      </c>
      <c r="B21" s="88">
        <v>1</v>
      </c>
      <c r="C21" s="111">
        <f>0.4*1.5</f>
        <v>0.60000000000000009</v>
      </c>
      <c r="D21" s="112">
        <f>B21*C21</f>
        <v>0.60000000000000009</v>
      </c>
    </row>
    <row r="22" spans="1:4" s="39" customFormat="1" ht="14.25" customHeight="1" x14ac:dyDescent="0.2">
      <c r="A22" s="103" t="s">
        <v>1288</v>
      </c>
      <c r="B22" s="88">
        <v>2</v>
      </c>
      <c r="C22" s="111">
        <f>0.4*2</f>
        <v>0.8</v>
      </c>
      <c r="D22" s="112">
        <f t="shared" ref="D22" si="1">B22*C22</f>
        <v>1.6</v>
      </c>
    </row>
    <row r="23" spans="1:4" s="39" customFormat="1" ht="14.25" customHeight="1" x14ac:dyDescent="0.2">
      <c r="A23" s="103" t="s">
        <v>1289</v>
      </c>
      <c r="B23" s="88">
        <v>2</v>
      </c>
      <c r="C23" s="111">
        <f>1.1*1.7</f>
        <v>1.87</v>
      </c>
      <c r="D23" s="112">
        <f>B23*C23</f>
        <v>3.74</v>
      </c>
    </row>
    <row r="24" spans="1:4" ht="14.25" customHeight="1" x14ac:dyDescent="0.2">
      <c r="A24" s="228" t="s">
        <v>1567</v>
      </c>
      <c r="B24" s="229"/>
      <c r="C24" s="229"/>
      <c r="D24" s="58">
        <f>SUM(D21:D23)</f>
        <v>5.94</v>
      </c>
    </row>
    <row r="25" spans="1:4" ht="14.25" customHeight="1" x14ac:dyDescent="0.2">
      <c r="A25" s="228" t="s">
        <v>1528</v>
      </c>
      <c r="B25" s="229"/>
      <c r="C25" s="229"/>
      <c r="D25" s="58">
        <v>5.94</v>
      </c>
    </row>
    <row r="26" spans="1:4" ht="14.25" customHeight="1" x14ac:dyDescent="0.2">
      <c r="A26" s="230" t="s">
        <v>1568</v>
      </c>
      <c r="B26" s="231"/>
      <c r="C26" s="231"/>
      <c r="D26" s="65">
        <v>0</v>
      </c>
    </row>
    <row r="27" spans="1:4" ht="14.25" customHeight="1" x14ac:dyDescent="0.2">
      <c r="A27" s="241" t="s">
        <v>1569</v>
      </c>
      <c r="B27" s="242"/>
      <c r="C27" s="242"/>
      <c r="D27" s="59">
        <f>D24-D26</f>
        <v>5.94</v>
      </c>
    </row>
    <row r="28" spans="1:4" s="39" customFormat="1" ht="14.25" customHeight="1" x14ac:dyDescent="0.2">
      <c r="A28" s="102"/>
      <c r="B28" s="140"/>
      <c r="C28" s="111"/>
      <c r="D28" s="112"/>
    </row>
    <row r="29" spans="1:4" s="39" customFormat="1" ht="58.5" customHeight="1" x14ac:dyDescent="0.2">
      <c r="A29" s="41" t="s">
        <v>1529</v>
      </c>
      <c r="B29" s="235" t="s">
        <v>1228</v>
      </c>
      <c r="C29" s="235"/>
      <c r="D29" s="235"/>
    </row>
    <row r="30" spans="1:4" ht="14.25" customHeight="1" x14ac:dyDescent="0.2">
      <c r="A30" s="44" t="s">
        <v>821</v>
      </c>
      <c r="B30" s="45" t="s">
        <v>878</v>
      </c>
      <c r="C30" s="45" t="s">
        <v>822</v>
      </c>
      <c r="D30" s="108" t="s">
        <v>898</v>
      </c>
    </row>
    <row r="31" spans="1:4" s="39" customFormat="1" ht="14.25" customHeight="1" x14ac:dyDescent="0.2">
      <c r="A31" s="103" t="s">
        <v>1290</v>
      </c>
      <c r="B31" s="88">
        <v>4</v>
      </c>
      <c r="C31" s="111">
        <f>1.1*4.5</f>
        <v>4.95</v>
      </c>
      <c r="D31" s="112">
        <f t="shared" ref="D31:D33" si="2">B31*C31</f>
        <v>19.8</v>
      </c>
    </row>
    <row r="32" spans="1:4" s="39" customFormat="1" ht="14.25" customHeight="1" x14ac:dyDescent="0.2">
      <c r="A32" s="103" t="s">
        <v>1530</v>
      </c>
      <c r="B32" s="88">
        <v>8</v>
      </c>
      <c r="C32" s="111">
        <f>1.1*3.07</f>
        <v>3.3770000000000002</v>
      </c>
      <c r="D32" s="112">
        <f t="shared" si="2"/>
        <v>27.016000000000002</v>
      </c>
    </row>
    <row r="33" spans="1:4" s="39" customFormat="1" ht="14.25" customHeight="1" x14ac:dyDescent="0.2">
      <c r="A33" s="103" t="s">
        <v>1531</v>
      </c>
      <c r="B33" s="88">
        <v>24</v>
      </c>
      <c r="C33" s="111">
        <f>1.1*2.96</f>
        <v>3.2560000000000002</v>
      </c>
      <c r="D33" s="112">
        <f t="shared" si="2"/>
        <v>78.144000000000005</v>
      </c>
    </row>
    <row r="34" spans="1:4" ht="14.25" customHeight="1" x14ac:dyDescent="0.2">
      <c r="A34" s="228" t="s">
        <v>1567</v>
      </c>
      <c r="B34" s="229"/>
      <c r="C34" s="229"/>
      <c r="D34" s="58">
        <f>SUM(D31:D33)</f>
        <v>124.96000000000001</v>
      </c>
    </row>
    <row r="35" spans="1:4" ht="14.25" customHeight="1" x14ac:dyDescent="0.2">
      <c r="A35" s="228" t="s">
        <v>1528</v>
      </c>
      <c r="B35" s="229"/>
      <c r="C35" s="229"/>
      <c r="D35" s="58">
        <v>124.96</v>
      </c>
    </row>
    <row r="36" spans="1:4" ht="14.25" customHeight="1" x14ac:dyDescent="0.2">
      <c r="A36" s="230" t="s">
        <v>1570</v>
      </c>
      <c r="B36" s="231"/>
      <c r="C36" s="231"/>
      <c r="D36" s="65">
        <v>0</v>
      </c>
    </row>
    <row r="37" spans="1:4" ht="14.25" customHeight="1" x14ac:dyDescent="0.2">
      <c r="A37" s="241" t="s">
        <v>1571</v>
      </c>
      <c r="B37" s="242"/>
      <c r="C37" s="242"/>
      <c r="D37" s="59">
        <f>D34-D36</f>
        <v>124.96000000000001</v>
      </c>
    </row>
    <row r="38" spans="1:4" s="39" customFormat="1" ht="14.25" customHeight="1" x14ac:dyDescent="0.2">
      <c r="A38" s="102"/>
      <c r="B38" s="140"/>
      <c r="C38" s="111"/>
      <c r="D38" s="112"/>
    </row>
    <row r="39" spans="1:4" s="39" customFormat="1" ht="45.75" customHeight="1" x14ac:dyDescent="0.2">
      <c r="A39" s="41" t="s">
        <v>1532</v>
      </c>
      <c r="B39" s="235" t="s">
        <v>1230</v>
      </c>
      <c r="C39" s="235"/>
      <c r="D39" s="235"/>
    </row>
    <row r="40" spans="1:4" ht="14.25" customHeight="1" x14ac:dyDescent="0.2">
      <c r="A40" s="44" t="s">
        <v>821</v>
      </c>
      <c r="B40" s="45" t="s">
        <v>878</v>
      </c>
      <c r="C40" s="45" t="s">
        <v>822</v>
      </c>
      <c r="D40" s="108" t="s">
        <v>898</v>
      </c>
    </row>
    <row r="41" spans="1:4" s="39" customFormat="1" ht="14.25" customHeight="1" x14ac:dyDescent="0.2">
      <c r="A41" s="103" t="s">
        <v>1291</v>
      </c>
      <c r="B41" s="111">
        <v>32</v>
      </c>
      <c r="C41" s="111">
        <f>0.6*0.4</f>
        <v>0.24</v>
      </c>
      <c r="D41" s="112">
        <f>B41*C41</f>
        <v>7.68</v>
      </c>
    </row>
    <row r="42" spans="1:4" s="39" customFormat="1" ht="14.25" customHeight="1" x14ac:dyDescent="0.2">
      <c r="A42" s="103" t="s">
        <v>1292</v>
      </c>
      <c r="B42" s="111">
        <v>14</v>
      </c>
      <c r="C42" s="111">
        <f>1*0.4</f>
        <v>0.4</v>
      </c>
      <c r="D42" s="112">
        <f t="shared" ref="D42:D43" si="3">B42*C42</f>
        <v>5.6000000000000005</v>
      </c>
    </row>
    <row r="43" spans="1:4" s="39" customFormat="1" ht="14.25" customHeight="1" x14ac:dyDescent="0.2">
      <c r="A43" s="103" t="s">
        <v>1286</v>
      </c>
      <c r="B43" s="111">
        <v>17</v>
      </c>
      <c r="C43" s="111">
        <f>1.5*0.6</f>
        <v>0.89999999999999991</v>
      </c>
      <c r="D43" s="112">
        <f t="shared" si="3"/>
        <v>15.299999999999999</v>
      </c>
    </row>
    <row r="44" spans="1:4" ht="14.25" customHeight="1" x14ac:dyDescent="0.2">
      <c r="A44" s="228" t="s">
        <v>1572</v>
      </c>
      <c r="B44" s="229"/>
      <c r="C44" s="229"/>
      <c r="D44" s="58">
        <f>SUM(D41:D43)</f>
        <v>28.58</v>
      </c>
    </row>
    <row r="45" spans="1:4" ht="14.25" customHeight="1" x14ac:dyDescent="0.2">
      <c r="A45" s="228" t="s">
        <v>1534</v>
      </c>
      <c r="B45" s="229"/>
      <c r="C45" s="229"/>
      <c r="D45" s="58">
        <v>28.58</v>
      </c>
    </row>
    <row r="46" spans="1:4" ht="14.25" customHeight="1" x14ac:dyDescent="0.2">
      <c r="A46" s="230" t="s">
        <v>1573</v>
      </c>
      <c r="B46" s="231"/>
      <c r="C46" s="231"/>
      <c r="D46" s="65">
        <f>D45-D44</f>
        <v>0</v>
      </c>
    </row>
    <row r="47" spans="1:4" ht="14.25" customHeight="1" x14ac:dyDescent="0.2">
      <c r="A47" s="241" t="s">
        <v>1574</v>
      </c>
      <c r="B47" s="242"/>
      <c r="C47" s="242"/>
      <c r="D47" s="59">
        <f>D44-D46</f>
        <v>28.58</v>
      </c>
    </row>
    <row r="48" spans="1:4" s="39" customFormat="1" ht="14.25" customHeight="1" x14ac:dyDescent="0.2">
      <c r="A48" s="102"/>
      <c r="B48" s="140"/>
      <c r="C48" s="111"/>
      <c r="D48" s="112"/>
    </row>
    <row r="49" spans="1:4" s="39" customFormat="1" ht="33" customHeight="1" x14ac:dyDescent="0.2">
      <c r="A49" s="41" t="s">
        <v>1535</v>
      </c>
      <c r="B49" s="235" t="s">
        <v>1232</v>
      </c>
      <c r="C49" s="235"/>
      <c r="D49" s="235"/>
    </row>
    <row r="50" spans="1:4" ht="14.25" customHeight="1" x14ac:dyDescent="0.2">
      <c r="A50" s="44" t="s">
        <v>821</v>
      </c>
      <c r="B50" s="45" t="s">
        <v>878</v>
      </c>
      <c r="C50" s="45" t="s">
        <v>824</v>
      </c>
      <c r="D50" s="108" t="s">
        <v>991</v>
      </c>
    </row>
    <row r="51" spans="1:4" s="39" customFormat="1" ht="14.25" customHeight="1" x14ac:dyDescent="0.2">
      <c r="A51" s="103" t="s">
        <v>1291</v>
      </c>
      <c r="B51" s="111">
        <v>32</v>
      </c>
      <c r="C51" s="111">
        <f>0.6+0.6+0.4+0.4</f>
        <v>2</v>
      </c>
      <c r="D51" s="112">
        <f>B51*C51</f>
        <v>64</v>
      </c>
    </row>
    <row r="52" spans="1:4" s="39" customFormat="1" ht="14.25" customHeight="1" x14ac:dyDescent="0.2">
      <c r="A52" s="103" t="s">
        <v>1292</v>
      </c>
      <c r="B52" s="111">
        <v>14</v>
      </c>
      <c r="C52" s="111">
        <f>2+0.8</f>
        <v>2.8</v>
      </c>
      <c r="D52" s="112">
        <f t="shared" ref="D52:D60" si="4">B52*C52</f>
        <v>39.199999999999996</v>
      </c>
    </row>
    <row r="53" spans="1:4" s="39" customFormat="1" ht="14.25" customHeight="1" x14ac:dyDescent="0.2">
      <c r="A53" s="103" t="s">
        <v>1286</v>
      </c>
      <c r="B53" s="111">
        <v>17</v>
      </c>
      <c r="C53" s="111">
        <f>1.5+1.5+0.6+0.6</f>
        <v>4.2</v>
      </c>
      <c r="D53" s="112">
        <f t="shared" si="4"/>
        <v>71.400000000000006</v>
      </c>
    </row>
    <row r="54" spans="1:4" s="39" customFormat="1" ht="14.25" customHeight="1" x14ac:dyDescent="0.2">
      <c r="A54" s="103" t="s">
        <v>1287</v>
      </c>
      <c r="B54" s="111">
        <v>1</v>
      </c>
      <c r="C54" s="111">
        <f>0.8+3</f>
        <v>3.8</v>
      </c>
      <c r="D54" s="112">
        <f t="shared" si="4"/>
        <v>3.8</v>
      </c>
    </row>
    <row r="55" spans="1:4" s="39" customFormat="1" ht="14.25" customHeight="1" x14ac:dyDescent="0.2">
      <c r="A55" s="103" t="s">
        <v>1288</v>
      </c>
      <c r="B55" s="111">
        <v>2</v>
      </c>
      <c r="C55" s="111">
        <f>0.8+4</f>
        <v>4.8</v>
      </c>
      <c r="D55" s="112">
        <f t="shared" si="4"/>
        <v>9.6</v>
      </c>
    </row>
    <row r="56" spans="1:4" s="39" customFormat="1" ht="14.25" customHeight="1" x14ac:dyDescent="0.2">
      <c r="A56" s="103" t="s">
        <v>1289</v>
      </c>
      <c r="B56" s="111">
        <v>2</v>
      </c>
      <c r="C56" s="111">
        <f>2.2+3.4</f>
        <v>5.6</v>
      </c>
      <c r="D56" s="112">
        <f t="shared" si="4"/>
        <v>11.2</v>
      </c>
    </row>
    <row r="57" spans="1:4" s="39" customFormat="1" ht="14.25" customHeight="1" x14ac:dyDescent="0.2">
      <c r="A57" s="103" t="s">
        <v>1290</v>
      </c>
      <c r="B57" s="111">
        <v>4</v>
      </c>
      <c r="C57" s="111">
        <f>2.2+9</f>
        <v>11.2</v>
      </c>
      <c r="D57" s="112">
        <f t="shared" si="4"/>
        <v>44.8</v>
      </c>
    </row>
    <row r="58" spans="1:4" s="39" customFormat="1" ht="14.25" customHeight="1" x14ac:dyDescent="0.2">
      <c r="A58" s="103" t="s">
        <v>1530</v>
      </c>
      <c r="B58" s="111">
        <v>8</v>
      </c>
      <c r="C58" s="111">
        <f>2.2+6.14</f>
        <v>8.34</v>
      </c>
      <c r="D58" s="112">
        <f t="shared" si="4"/>
        <v>66.72</v>
      </c>
    </row>
    <row r="59" spans="1:4" s="39" customFormat="1" ht="14.25" customHeight="1" x14ac:dyDescent="0.2">
      <c r="A59" s="103" t="s">
        <v>1531</v>
      </c>
      <c r="B59" s="111">
        <v>24</v>
      </c>
      <c r="C59" s="111">
        <f>2.2+6</f>
        <v>8.1999999999999993</v>
      </c>
      <c r="D59" s="112">
        <f t="shared" si="4"/>
        <v>196.79999999999998</v>
      </c>
    </row>
    <row r="60" spans="1:4" s="39" customFormat="1" ht="14.25" customHeight="1" x14ac:dyDescent="0.2">
      <c r="A60" s="103" t="s">
        <v>1536</v>
      </c>
      <c r="B60" s="111">
        <v>3</v>
      </c>
      <c r="C60" s="111">
        <v>2</v>
      </c>
      <c r="D60" s="112">
        <f t="shared" si="4"/>
        <v>6</v>
      </c>
    </row>
    <row r="61" spans="1:4" ht="14.25" customHeight="1" x14ac:dyDescent="0.2">
      <c r="A61" s="228" t="s">
        <v>1575</v>
      </c>
      <c r="B61" s="229"/>
      <c r="C61" s="229"/>
      <c r="D61" s="58">
        <f>SUM(D51:D60)</f>
        <v>513.52</v>
      </c>
    </row>
    <row r="62" spans="1:4" ht="14.25" customHeight="1" x14ac:dyDescent="0.2">
      <c r="A62" s="228" t="s">
        <v>1537</v>
      </c>
      <c r="B62" s="229"/>
      <c r="C62" s="229"/>
      <c r="D62" s="58">
        <v>513.52</v>
      </c>
    </row>
    <row r="63" spans="1:4" ht="14.25" customHeight="1" x14ac:dyDescent="0.2">
      <c r="A63" s="230" t="s">
        <v>1576</v>
      </c>
      <c r="B63" s="231"/>
      <c r="C63" s="231"/>
      <c r="D63" s="65">
        <f>D62-D61</f>
        <v>0</v>
      </c>
    </row>
    <row r="64" spans="1:4" ht="14.25" customHeight="1" x14ac:dyDescent="0.2">
      <c r="A64" s="241" t="s">
        <v>1577</v>
      </c>
      <c r="B64" s="242"/>
      <c r="C64" s="242"/>
      <c r="D64" s="59">
        <f>D61-D63</f>
        <v>513.52</v>
      </c>
    </row>
    <row r="65" spans="1:4" s="39" customFormat="1" ht="14.25" customHeight="1" x14ac:dyDescent="0.2">
      <c r="A65" s="102"/>
      <c r="B65" s="140"/>
      <c r="C65" s="111"/>
      <c r="D65" s="112"/>
    </row>
    <row r="66" spans="1:4" s="39" customFormat="1" ht="69" customHeight="1" x14ac:dyDescent="0.2">
      <c r="A66" s="41" t="s">
        <v>1538</v>
      </c>
      <c r="B66" s="235" t="s">
        <v>1539</v>
      </c>
      <c r="C66" s="235"/>
      <c r="D66" s="235"/>
    </row>
    <row r="67" spans="1:4" ht="14.25" customHeight="1" x14ac:dyDescent="0.2">
      <c r="A67" s="267" t="s">
        <v>1540</v>
      </c>
      <c r="B67" s="268"/>
      <c r="C67" s="45" t="s">
        <v>878</v>
      </c>
      <c r="D67" s="108" t="s">
        <v>1086</v>
      </c>
    </row>
    <row r="68" spans="1:4" s="39" customFormat="1" ht="14.25" customHeight="1" x14ac:dyDescent="0.2">
      <c r="A68" s="103" t="s">
        <v>1081</v>
      </c>
      <c r="B68" s="48" t="s">
        <v>904</v>
      </c>
      <c r="C68" s="111">
        <v>1</v>
      </c>
      <c r="D68" s="112">
        <f t="shared" ref="D68:D74" si="5">C68</f>
        <v>1</v>
      </c>
    </row>
    <row r="69" spans="1:4" s="39" customFormat="1" ht="14.25" customHeight="1" x14ac:dyDescent="0.2">
      <c r="A69" s="103" t="s">
        <v>1032</v>
      </c>
      <c r="B69" s="48" t="s">
        <v>904</v>
      </c>
      <c r="C69" s="111">
        <v>2</v>
      </c>
      <c r="D69" s="112">
        <f t="shared" si="5"/>
        <v>2</v>
      </c>
    </row>
    <row r="70" spans="1:4" s="39" customFormat="1" ht="14.25" customHeight="1" x14ac:dyDescent="0.2">
      <c r="A70" s="270" t="s">
        <v>1357</v>
      </c>
      <c r="B70" s="48" t="s">
        <v>904</v>
      </c>
      <c r="C70" s="111">
        <v>2</v>
      </c>
      <c r="D70" s="112">
        <f t="shared" si="5"/>
        <v>2</v>
      </c>
    </row>
    <row r="71" spans="1:4" s="39" customFormat="1" ht="14.25" customHeight="1" x14ac:dyDescent="0.2">
      <c r="A71" s="271"/>
      <c r="B71" s="48" t="s">
        <v>1138</v>
      </c>
      <c r="C71" s="111">
        <v>1</v>
      </c>
      <c r="D71" s="112">
        <f t="shared" si="5"/>
        <v>1</v>
      </c>
    </row>
    <row r="72" spans="1:4" s="39" customFormat="1" ht="14.25" customHeight="1" x14ac:dyDescent="0.2">
      <c r="A72" s="272"/>
      <c r="B72" s="48" t="s">
        <v>1297</v>
      </c>
      <c r="C72" s="111">
        <v>2</v>
      </c>
      <c r="D72" s="112">
        <f t="shared" si="5"/>
        <v>2</v>
      </c>
    </row>
    <row r="73" spans="1:4" s="39" customFormat="1" ht="14.25" customHeight="1" x14ac:dyDescent="0.2">
      <c r="A73" s="103" t="s">
        <v>1541</v>
      </c>
      <c r="B73" s="48" t="s">
        <v>904</v>
      </c>
      <c r="C73" s="111">
        <v>5</v>
      </c>
      <c r="D73" s="112">
        <f t="shared" si="5"/>
        <v>5</v>
      </c>
    </row>
    <row r="74" spans="1:4" s="39" customFormat="1" ht="14.25" customHeight="1" x14ac:dyDescent="0.2">
      <c r="A74" s="103" t="s">
        <v>1542</v>
      </c>
      <c r="B74" s="48" t="s">
        <v>904</v>
      </c>
      <c r="C74" s="111">
        <f>2*2</f>
        <v>4</v>
      </c>
      <c r="D74" s="112">
        <f t="shared" si="5"/>
        <v>4</v>
      </c>
    </row>
    <row r="75" spans="1:4" ht="14.25" customHeight="1" x14ac:dyDescent="0.2">
      <c r="A75" s="228" t="s">
        <v>1578</v>
      </c>
      <c r="B75" s="229"/>
      <c r="C75" s="229"/>
      <c r="D75" s="58">
        <f>SUM(D68:D74)</f>
        <v>17</v>
      </c>
    </row>
    <row r="76" spans="1:4" ht="14.25" customHeight="1" x14ac:dyDescent="0.2">
      <c r="A76" s="228" t="s">
        <v>1543</v>
      </c>
      <c r="B76" s="229"/>
      <c r="C76" s="229"/>
      <c r="D76" s="58">
        <v>17</v>
      </c>
    </row>
    <row r="77" spans="1:4" ht="14.25" customHeight="1" x14ac:dyDescent="0.2">
      <c r="A77" s="230" t="s">
        <v>1579</v>
      </c>
      <c r="B77" s="231"/>
      <c r="C77" s="231"/>
      <c r="D77" s="65">
        <v>0</v>
      </c>
    </row>
    <row r="78" spans="1:4" ht="14.25" customHeight="1" x14ac:dyDescent="0.2">
      <c r="A78" s="241" t="s">
        <v>1580</v>
      </c>
      <c r="B78" s="242"/>
      <c r="C78" s="242"/>
      <c r="D78" s="59">
        <f>D75-D77</f>
        <v>17</v>
      </c>
    </row>
    <row r="79" spans="1:4" s="39" customFormat="1" ht="14.25" customHeight="1" x14ac:dyDescent="0.2">
      <c r="A79" s="102"/>
      <c r="B79" s="140"/>
      <c r="C79" s="111"/>
      <c r="D79" s="112"/>
    </row>
    <row r="80" spans="1:4" s="39" customFormat="1" ht="69" customHeight="1" x14ac:dyDescent="0.2">
      <c r="A80" s="41" t="s">
        <v>1544</v>
      </c>
      <c r="B80" s="235" t="s">
        <v>1236</v>
      </c>
      <c r="C80" s="235"/>
      <c r="D80" s="235"/>
    </row>
    <row r="81" spans="1:4" ht="14.25" customHeight="1" x14ac:dyDescent="0.2">
      <c r="A81" s="267" t="s">
        <v>821</v>
      </c>
      <c r="B81" s="268"/>
      <c r="C81" s="45" t="s">
        <v>822</v>
      </c>
      <c r="D81" s="108" t="s">
        <v>898</v>
      </c>
    </row>
    <row r="82" spans="1:4" s="39" customFormat="1" ht="14.25" customHeight="1" x14ac:dyDescent="0.2">
      <c r="A82" s="103" t="s">
        <v>1032</v>
      </c>
      <c r="B82" s="48" t="s">
        <v>1545</v>
      </c>
      <c r="C82" s="111">
        <f>1.6*2.1</f>
        <v>3.3600000000000003</v>
      </c>
      <c r="D82" s="112">
        <f t="shared" ref="D82:D85" si="6">C82</f>
        <v>3.3600000000000003</v>
      </c>
    </row>
    <row r="83" spans="1:4" s="39" customFormat="1" ht="14.25" customHeight="1" x14ac:dyDescent="0.2">
      <c r="A83" s="103" t="s">
        <v>1357</v>
      </c>
      <c r="B83" s="48" t="s">
        <v>1546</v>
      </c>
      <c r="C83" s="111">
        <f>1.1*2.1*1</f>
        <v>2.3100000000000005</v>
      </c>
      <c r="D83" s="112">
        <f t="shared" si="6"/>
        <v>2.3100000000000005</v>
      </c>
    </row>
    <row r="84" spans="1:4" s="39" customFormat="1" ht="14.25" customHeight="1" x14ac:dyDescent="0.2">
      <c r="A84" s="103" t="s">
        <v>1547</v>
      </c>
      <c r="B84" s="48" t="s">
        <v>1548</v>
      </c>
      <c r="C84" s="111">
        <f>1*1.6*2.1</f>
        <v>3.3600000000000003</v>
      </c>
      <c r="D84" s="112">
        <f t="shared" si="6"/>
        <v>3.3600000000000003</v>
      </c>
    </row>
    <row r="85" spans="1:4" s="39" customFormat="1" ht="14.25" customHeight="1" x14ac:dyDescent="0.2">
      <c r="A85" s="103" t="s">
        <v>1424</v>
      </c>
      <c r="B85" s="48" t="s">
        <v>1549</v>
      </c>
      <c r="C85" s="111">
        <f>1*2.2*2.1</f>
        <v>4.620000000000001</v>
      </c>
      <c r="D85" s="112">
        <f t="shared" si="6"/>
        <v>4.620000000000001</v>
      </c>
    </row>
    <row r="86" spans="1:4" ht="14.25" customHeight="1" x14ac:dyDescent="0.2">
      <c r="A86" s="228" t="s">
        <v>1581</v>
      </c>
      <c r="B86" s="229"/>
      <c r="C86" s="229"/>
      <c r="D86" s="58">
        <f>SUM(D82:D85)</f>
        <v>13.650000000000002</v>
      </c>
    </row>
    <row r="87" spans="1:4" ht="14.25" customHeight="1" x14ac:dyDescent="0.2">
      <c r="A87" s="228" t="s">
        <v>1550</v>
      </c>
      <c r="B87" s="229"/>
      <c r="C87" s="229"/>
      <c r="D87" s="58">
        <v>13.65</v>
      </c>
    </row>
    <row r="88" spans="1:4" ht="14.25" customHeight="1" x14ac:dyDescent="0.2">
      <c r="A88" s="230" t="s">
        <v>1582</v>
      </c>
      <c r="B88" s="231"/>
      <c r="C88" s="231"/>
      <c r="D88" s="65">
        <v>0</v>
      </c>
    </row>
    <row r="89" spans="1:4" ht="14.25" customHeight="1" x14ac:dyDescent="0.2">
      <c r="A89" s="241" t="s">
        <v>1583</v>
      </c>
      <c r="B89" s="242"/>
      <c r="C89" s="242"/>
      <c r="D89" s="59">
        <f>D86-D88</f>
        <v>13.650000000000002</v>
      </c>
    </row>
    <row r="90" spans="1:4" s="39" customFormat="1" ht="14.25" customHeight="1" x14ac:dyDescent="0.2">
      <c r="A90" s="102"/>
      <c r="B90" s="140"/>
      <c r="C90" s="111"/>
      <c r="D90" s="112"/>
    </row>
    <row r="91" spans="1:4" s="39" customFormat="1" ht="33" customHeight="1" x14ac:dyDescent="0.2">
      <c r="A91" s="41" t="s">
        <v>1551</v>
      </c>
      <c r="B91" s="235" t="s">
        <v>1240</v>
      </c>
      <c r="C91" s="235"/>
      <c r="D91" s="235"/>
    </row>
    <row r="92" spans="1:4" ht="14.25" customHeight="1" x14ac:dyDescent="0.2">
      <c r="A92" s="267" t="s">
        <v>821</v>
      </c>
      <c r="B92" s="268"/>
      <c r="C92" s="45" t="s">
        <v>822</v>
      </c>
      <c r="D92" s="108" t="s">
        <v>898</v>
      </c>
    </row>
    <row r="93" spans="1:4" s="39" customFormat="1" ht="14.25" customHeight="1" x14ac:dyDescent="0.2">
      <c r="A93" s="103" t="s">
        <v>1552</v>
      </c>
      <c r="B93" s="48" t="s">
        <v>1553</v>
      </c>
      <c r="C93" s="111">
        <f>3*0.4*0.4</f>
        <v>0.48000000000000009</v>
      </c>
      <c r="D93" s="112">
        <f t="shared" ref="D93" si="7">C93</f>
        <v>0.48000000000000009</v>
      </c>
    </row>
    <row r="94" spans="1:4" ht="14.25" customHeight="1" x14ac:dyDescent="0.2">
      <c r="A94" s="228" t="s">
        <v>1584</v>
      </c>
      <c r="B94" s="229"/>
      <c r="C94" s="229"/>
      <c r="D94" s="58">
        <f>SUM(D93:D93)</f>
        <v>0.48000000000000009</v>
      </c>
    </row>
    <row r="95" spans="1:4" ht="14.25" customHeight="1" x14ac:dyDescent="0.2">
      <c r="A95" s="228" t="s">
        <v>1554</v>
      </c>
      <c r="B95" s="229"/>
      <c r="C95" s="229"/>
      <c r="D95" s="58">
        <v>0.48</v>
      </c>
    </row>
    <row r="96" spans="1:4" ht="14.25" customHeight="1" x14ac:dyDescent="0.2">
      <c r="A96" s="230" t="s">
        <v>1585</v>
      </c>
      <c r="B96" s="231"/>
      <c r="C96" s="231"/>
      <c r="D96" s="65">
        <f>D94-D93</f>
        <v>0</v>
      </c>
    </row>
    <row r="97" spans="1:4" ht="14.25" customHeight="1" x14ac:dyDescent="0.2">
      <c r="A97" s="241" t="s">
        <v>1586</v>
      </c>
      <c r="B97" s="242"/>
      <c r="C97" s="242"/>
      <c r="D97" s="59">
        <f>D94-D96</f>
        <v>0.48000000000000009</v>
      </c>
    </row>
    <row r="98" spans="1:4" s="39" customFormat="1" ht="14.25" customHeight="1" x14ac:dyDescent="0.2">
      <c r="A98" s="102"/>
      <c r="B98" s="140"/>
      <c r="C98" s="111"/>
      <c r="D98" s="112"/>
    </row>
    <row r="99" spans="1:4" s="39" customFormat="1" ht="51.75" customHeight="1" x14ac:dyDescent="0.2">
      <c r="A99" s="41" t="s">
        <v>1555</v>
      </c>
      <c r="B99" s="235" t="s">
        <v>1242</v>
      </c>
      <c r="C99" s="235"/>
      <c r="D99" s="235"/>
    </row>
    <row r="100" spans="1:4" ht="14.25" customHeight="1" x14ac:dyDescent="0.2">
      <c r="A100" s="267" t="s">
        <v>821</v>
      </c>
      <c r="B100" s="268"/>
      <c r="C100" s="45" t="s">
        <v>878</v>
      </c>
      <c r="D100" s="108" t="s">
        <v>1086</v>
      </c>
    </row>
    <row r="101" spans="1:4" s="39" customFormat="1" ht="14.25" customHeight="1" x14ac:dyDescent="0.2">
      <c r="A101" s="103" t="s">
        <v>1556</v>
      </c>
      <c r="B101" s="48"/>
      <c r="C101" s="111">
        <v>41</v>
      </c>
      <c r="D101" s="112">
        <f t="shared" ref="D101" si="8">C101</f>
        <v>41</v>
      </c>
    </row>
    <row r="102" spans="1:4" ht="14.25" customHeight="1" x14ac:dyDescent="0.2">
      <c r="A102" s="228" t="s">
        <v>1587</v>
      </c>
      <c r="B102" s="229"/>
      <c r="C102" s="229"/>
      <c r="D102" s="58">
        <f>SUM(D101:D101)</f>
        <v>41</v>
      </c>
    </row>
    <row r="103" spans="1:4" ht="14.25" customHeight="1" x14ac:dyDescent="0.2">
      <c r="A103" s="228" t="s">
        <v>1557</v>
      </c>
      <c r="B103" s="229"/>
      <c r="C103" s="229"/>
      <c r="D103" s="58">
        <v>41</v>
      </c>
    </row>
    <row r="104" spans="1:4" ht="14.25" customHeight="1" x14ac:dyDescent="0.2">
      <c r="A104" s="230" t="s">
        <v>1588</v>
      </c>
      <c r="B104" s="231"/>
      <c r="C104" s="231"/>
      <c r="D104" s="65">
        <f>D102-D101</f>
        <v>0</v>
      </c>
    </row>
    <row r="105" spans="1:4" ht="14.25" customHeight="1" x14ac:dyDescent="0.2">
      <c r="A105" s="241" t="s">
        <v>1589</v>
      </c>
      <c r="B105" s="242"/>
      <c r="C105" s="242"/>
      <c r="D105" s="59">
        <f>D102-D104</f>
        <v>41</v>
      </c>
    </row>
    <row r="106" spans="1:4" s="39" customFormat="1" ht="14.25" customHeight="1" x14ac:dyDescent="0.2">
      <c r="A106" s="102"/>
      <c r="B106" s="140"/>
      <c r="C106" s="111"/>
      <c r="D106" s="112"/>
    </row>
    <row r="107" spans="1:4" s="39" customFormat="1" ht="51.75" customHeight="1" x14ac:dyDescent="0.2">
      <c r="A107" s="41" t="s">
        <v>1558</v>
      </c>
      <c r="B107" s="235" t="s">
        <v>1244</v>
      </c>
      <c r="C107" s="235"/>
      <c r="D107" s="235"/>
    </row>
    <row r="108" spans="1:4" ht="14.25" customHeight="1" x14ac:dyDescent="0.2">
      <c r="A108" s="267" t="s">
        <v>821</v>
      </c>
      <c r="B108" s="268"/>
      <c r="C108" s="45" t="s">
        <v>878</v>
      </c>
      <c r="D108" s="108" t="s">
        <v>1086</v>
      </c>
    </row>
    <row r="109" spans="1:4" s="39" customFormat="1" ht="14.25" customHeight="1" x14ac:dyDescent="0.2">
      <c r="A109" s="103" t="s">
        <v>1559</v>
      </c>
      <c r="B109" s="48"/>
      <c r="C109" s="111">
        <v>2</v>
      </c>
      <c r="D109" s="112">
        <f t="shared" ref="D109" si="9">C109</f>
        <v>2</v>
      </c>
    </row>
    <row r="110" spans="1:4" ht="14.25" customHeight="1" x14ac:dyDescent="0.2">
      <c r="A110" s="228" t="s">
        <v>1590</v>
      </c>
      <c r="B110" s="229"/>
      <c r="C110" s="229"/>
      <c r="D110" s="58">
        <f>SUM(D109:D109)</f>
        <v>2</v>
      </c>
    </row>
    <row r="111" spans="1:4" ht="14.25" customHeight="1" x14ac:dyDescent="0.2">
      <c r="A111" s="228" t="s">
        <v>1560</v>
      </c>
      <c r="B111" s="229"/>
      <c r="C111" s="229"/>
      <c r="D111" s="58">
        <v>2</v>
      </c>
    </row>
    <row r="112" spans="1:4" ht="14.25" customHeight="1" x14ac:dyDescent="0.2">
      <c r="A112" s="230" t="s">
        <v>1591</v>
      </c>
      <c r="B112" s="231"/>
      <c r="C112" s="231"/>
      <c r="D112" s="65">
        <f>D110-D109</f>
        <v>0</v>
      </c>
    </row>
    <row r="113" spans="1:4" ht="14.25" customHeight="1" x14ac:dyDescent="0.2">
      <c r="A113" s="241" t="s">
        <v>1592</v>
      </c>
      <c r="B113" s="242"/>
      <c r="C113" s="242"/>
      <c r="D113" s="59">
        <f>D110-D112</f>
        <v>2</v>
      </c>
    </row>
    <row r="114" spans="1:4" s="39" customFormat="1" ht="14.25" customHeight="1" x14ac:dyDescent="0.2">
      <c r="A114" s="102"/>
      <c r="B114" s="140"/>
      <c r="C114" s="111"/>
      <c r="D114" s="112"/>
    </row>
    <row r="115" spans="1:4" s="39" customFormat="1" ht="51.75" customHeight="1" x14ac:dyDescent="0.2">
      <c r="A115" s="41" t="s">
        <v>1561</v>
      </c>
      <c r="B115" s="235" t="s">
        <v>1246</v>
      </c>
      <c r="C115" s="235"/>
      <c r="D115" s="235"/>
    </row>
    <row r="116" spans="1:4" ht="14.25" customHeight="1" x14ac:dyDescent="0.2">
      <c r="A116" s="267" t="s">
        <v>821</v>
      </c>
      <c r="B116" s="268"/>
      <c r="C116" s="45" t="s">
        <v>878</v>
      </c>
      <c r="D116" s="108" t="s">
        <v>1086</v>
      </c>
    </row>
    <row r="117" spans="1:4" s="39" customFormat="1" ht="14.25" customHeight="1" x14ac:dyDescent="0.2">
      <c r="A117" s="103" t="s">
        <v>1562</v>
      </c>
      <c r="B117" s="48"/>
      <c r="C117" s="111">
        <v>105</v>
      </c>
      <c r="D117" s="112">
        <f t="shared" ref="D117" si="10">C117</f>
        <v>105</v>
      </c>
    </row>
    <row r="118" spans="1:4" ht="14.25" customHeight="1" x14ac:dyDescent="0.2">
      <c r="A118" s="228" t="s">
        <v>1593</v>
      </c>
      <c r="B118" s="229"/>
      <c r="C118" s="229"/>
      <c r="D118" s="58">
        <f>SUM(D117:D117)</f>
        <v>105</v>
      </c>
    </row>
    <row r="119" spans="1:4" ht="14.25" customHeight="1" x14ac:dyDescent="0.2">
      <c r="A119" s="228" t="s">
        <v>1563</v>
      </c>
      <c r="B119" s="229"/>
      <c r="C119" s="229"/>
      <c r="D119" s="58">
        <v>105</v>
      </c>
    </row>
    <row r="120" spans="1:4" ht="14.25" customHeight="1" x14ac:dyDescent="0.2">
      <c r="A120" s="230" t="s">
        <v>1594</v>
      </c>
      <c r="B120" s="231"/>
      <c r="C120" s="231"/>
      <c r="D120" s="65">
        <f>D118-D117</f>
        <v>0</v>
      </c>
    </row>
    <row r="121" spans="1:4" ht="14.25" customHeight="1" x14ac:dyDescent="0.2">
      <c r="A121" s="241" t="s">
        <v>1595</v>
      </c>
      <c r="B121" s="242"/>
      <c r="C121" s="242"/>
      <c r="D121" s="59">
        <f>D118-D120</f>
        <v>105</v>
      </c>
    </row>
    <row r="122" spans="1:4" s="39" customFormat="1" ht="14.25" customHeight="1" x14ac:dyDescent="0.2">
      <c r="A122" s="102"/>
      <c r="B122" s="140"/>
      <c r="C122" s="111"/>
      <c r="D122" s="112"/>
    </row>
    <row r="123" spans="1:4" s="39" customFormat="1" ht="51.75" customHeight="1" x14ac:dyDescent="0.2">
      <c r="A123" s="41" t="s">
        <v>1564</v>
      </c>
      <c r="B123" s="235" t="s">
        <v>1248</v>
      </c>
      <c r="C123" s="235"/>
      <c r="D123" s="235"/>
    </row>
    <row r="124" spans="1:4" ht="14.25" customHeight="1" x14ac:dyDescent="0.2">
      <c r="A124" s="267" t="s">
        <v>821</v>
      </c>
      <c r="B124" s="268"/>
      <c r="C124" s="45" t="s">
        <v>878</v>
      </c>
      <c r="D124" s="108" t="s">
        <v>1086</v>
      </c>
    </row>
    <row r="125" spans="1:4" s="39" customFormat="1" ht="14.25" customHeight="1" x14ac:dyDescent="0.2">
      <c r="A125" s="103" t="s">
        <v>1565</v>
      </c>
      <c r="B125" s="48"/>
      <c r="C125" s="111">
        <v>42</v>
      </c>
      <c r="D125" s="112">
        <f t="shared" ref="D125" si="11">C125</f>
        <v>42</v>
      </c>
    </row>
    <row r="126" spans="1:4" ht="14.25" customHeight="1" x14ac:dyDescent="0.2">
      <c r="A126" s="228" t="s">
        <v>1596</v>
      </c>
      <c r="B126" s="229"/>
      <c r="C126" s="229"/>
      <c r="D126" s="58">
        <f>SUM(D125:D125)</f>
        <v>42</v>
      </c>
    </row>
    <row r="127" spans="1:4" ht="14.25" customHeight="1" x14ac:dyDescent="0.2">
      <c r="A127" s="228" t="s">
        <v>1566</v>
      </c>
      <c r="B127" s="229"/>
      <c r="C127" s="229"/>
      <c r="D127" s="58">
        <v>42</v>
      </c>
    </row>
    <row r="128" spans="1:4" ht="14.25" customHeight="1" x14ac:dyDescent="0.2">
      <c r="A128" s="230" t="s">
        <v>1597</v>
      </c>
      <c r="B128" s="231"/>
      <c r="C128" s="231"/>
      <c r="D128" s="65">
        <f>D126-D125</f>
        <v>0</v>
      </c>
    </row>
    <row r="129" spans="1:4" ht="14.25" customHeight="1" x14ac:dyDescent="0.2">
      <c r="A129" s="241" t="s">
        <v>1598</v>
      </c>
      <c r="B129" s="242"/>
      <c r="C129" s="242"/>
      <c r="D129" s="59">
        <f>D126-D128</f>
        <v>42</v>
      </c>
    </row>
    <row r="130" spans="1:4" s="39" customFormat="1" ht="14.25" customHeight="1" x14ac:dyDescent="0.2">
      <c r="A130" s="141"/>
      <c r="B130" s="142"/>
      <c r="C130" s="143"/>
      <c r="D130" s="144"/>
    </row>
  </sheetData>
  <mergeCells count="72">
    <mergeCell ref="A111:C111"/>
    <mergeCell ref="A124:B124"/>
    <mergeCell ref="A126:C126"/>
    <mergeCell ref="A127:C127"/>
    <mergeCell ref="A129:C129"/>
    <mergeCell ref="B115:D115"/>
    <mergeCell ref="A116:B116"/>
    <mergeCell ref="A118:C118"/>
    <mergeCell ref="A119:C119"/>
    <mergeCell ref="A121:C121"/>
    <mergeCell ref="B123:D123"/>
    <mergeCell ref="A120:C120"/>
    <mergeCell ref="A128:C128"/>
    <mergeCell ref="A96:C96"/>
    <mergeCell ref="B91:D91"/>
    <mergeCell ref="A92:B92"/>
    <mergeCell ref="A113:C113"/>
    <mergeCell ref="A95:C95"/>
    <mergeCell ref="A97:C97"/>
    <mergeCell ref="B99:D99"/>
    <mergeCell ref="A100:B100"/>
    <mergeCell ref="A102:C102"/>
    <mergeCell ref="A103:C103"/>
    <mergeCell ref="A104:C104"/>
    <mergeCell ref="A112:C112"/>
    <mergeCell ref="A105:C105"/>
    <mergeCell ref="B107:D107"/>
    <mergeCell ref="A108:B108"/>
    <mergeCell ref="A110:C110"/>
    <mergeCell ref="A94:C94"/>
    <mergeCell ref="A81:B81"/>
    <mergeCell ref="A86:C86"/>
    <mergeCell ref="A87:C87"/>
    <mergeCell ref="A88:C88"/>
    <mergeCell ref="A89:C89"/>
    <mergeCell ref="A37:C37"/>
    <mergeCell ref="B39:D39"/>
    <mergeCell ref="A44:C44"/>
    <mergeCell ref="B80:D80"/>
    <mergeCell ref="A46:C46"/>
    <mergeCell ref="B49:D49"/>
    <mergeCell ref="A61:C61"/>
    <mergeCell ref="A62:C62"/>
    <mergeCell ref="A63:C63"/>
    <mergeCell ref="B66:D66"/>
    <mergeCell ref="A78:C78"/>
    <mergeCell ref="A67:B67"/>
    <mergeCell ref="A70:A72"/>
    <mergeCell ref="A75:C75"/>
    <mergeCell ref="A76:C76"/>
    <mergeCell ref="A77:C77"/>
    <mergeCell ref="A6:D6"/>
    <mergeCell ref="B8:D8"/>
    <mergeCell ref="A9:B9"/>
    <mergeCell ref="B10:D10"/>
    <mergeCell ref="A11:B11"/>
    <mergeCell ref="A14:C14"/>
    <mergeCell ref="A27:C27"/>
    <mergeCell ref="A36:C36"/>
    <mergeCell ref="A47:C47"/>
    <mergeCell ref="A64:C64"/>
    <mergeCell ref="A17:C17"/>
    <mergeCell ref="A15:C15"/>
    <mergeCell ref="A16:C16"/>
    <mergeCell ref="A45:C45"/>
    <mergeCell ref="B19:D19"/>
    <mergeCell ref="A24:C24"/>
    <mergeCell ref="A25:C25"/>
    <mergeCell ref="A26:C26"/>
    <mergeCell ref="B29:D29"/>
    <mergeCell ref="A34:C34"/>
    <mergeCell ref="A35:C35"/>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4F47-3357-4A5B-8300-F4755362E851}">
  <sheetPr>
    <tabColor theme="9" tint="-0.499984740745262"/>
  </sheetPr>
  <dimension ref="A1:F21"/>
  <sheetViews>
    <sheetView view="pageBreakPreview" zoomScale="90" zoomScaleNormal="95" zoomScaleSheetLayoutView="90" workbookViewId="0">
      <selection activeCell="K16" sqref="K16"/>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6" x14ac:dyDescent="0.2">
      <c r="A1" s="26"/>
      <c r="B1" s="27"/>
      <c r="C1" s="27"/>
      <c r="D1" s="27"/>
      <c r="E1" s="28"/>
    </row>
    <row r="2" spans="1:6" x14ac:dyDescent="0.2">
      <c r="A2" s="30"/>
      <c r="E2" s="32"/>
    </row>
    <row r="3" spans="1:6" x14ac:dyDescent="0.2">
      <c r="A3" s="30"/>
      <c r="E3" s="32"/>
    </row>
    <row r="4" spans="1:6" x14ac:dyDescent="0.2">
      <c r="A4" s="30"/>
      <c r="E4" s="32"/>
    </row>
    <row r="5" spans="1:6" ht="18" customHeight="1" x14ac:dyDescent="0.2">
      <c r="A5" s="33"/>
      <c r="B5" s="34"/>
      <c r="C5" s="35"/>
      <c r="D5" s="35"/>
      <c r="E5" s="36"/>
    </row>
    <row r="6" spans="1:6" x14ac:dyDescent="0.2">
      <c r="A6" s="33" t="s">
        <v>820</v>
      </c>
      <c r="B6" s="34"/>
      <c r="C6" s="35"/>
      <c r="D6" s="35"/>
      <c r="E6" s="36"/>
    </row>
    <row r="7" spans="1:6" x14ac:dyDescent="0.2">
      <c r="A7" s="33" t="s">
        <v>2</v>
      </c>
      <c r="B7" s="34"/>
      <c r="C7" s="35"/>
      <c r="D7" s="35"/>
      <c r="E7" s="36"/>
    </row>
    <row r="8" spans="1:6" x14ac:dyDescent="0.2">
      <c r="A8" s="33" t="s">
        <v>1348</v>
      </c>
      <c r="B8" s="34"/>
      <c r="C8" s="35"/>
      <c r="D8" s="35"/>
      <c r="E8" s="36"/>
    </row>
    <row r="9" spans="1:6" x14ac:dyDescent="0.2">
      <c r="A9" s="33"/>
      <c r="B9" s="34"/>
      <c r="C9" s="35"/>
      <c r="D9" s="35"/>
      <c r="E9" s="36"/>
    </row>
    <row r="10" spans="1:6" ht="13.5" thickBot="1" x14ac:dyDescent="0.25">
      <c r="A10" s="37"/>
      <c r="B10" s="38"/>
      <c r="C10" s="38"/>
      <c r="D10" s="38"/>
      <c r="E10" s="32"/>
    </row>
    <row r="11" spans="1:6" s="39" customFormat="1" ht="21" customHeight="1" thickBot="1" x14ac:dyDescent="0.25">
      <c r="A11" s="250" t="s">
        <v>1352</v>
      </c>
      <c r="B11" s="251"/>
      <c r="C11" s="251"/>
      <c r="D11" s="251"/>
      <c r="E11" s="252"/>
    </row>
    <row r="12" spans="1:6" x14ac:dyDescent="0.2">
      <c r="A12" s="30"/>
      <c r="E12" s="32"/>
    </row>
    <row r="13" spans="1:6" ht="17.25" customHeight="1" x14ac:dyDescent="0.2">
      <c r="A13" s="40" t="s">
        <v>1010</v>
      </c>
      <c r="B13" s="234" t="s">
        <v>292</v>
      </c>
      <c r="C13" s="234"/>
      <c r="D13" s="234"/>
      <c r="E13" s="234"/>
    </row>
    <row r="14" spans="1:6" s="39" customFormat="1" ht="42" customHeight="1" x14ac:dyDescent="0.2">
      <c r="A14" s="41" t="s">
        <v>1011</v>
      </c>
      <c r="B14" s="235" t="s">
        <v>294</v>
      </c>
      <c r="C14" s="235"/>
      <c r="D14" s="235"/>
      <c r="E14" s="235"/>
      <c r="F14" s="67"/>
    </row>
    <row r="15" spans="1:6" s="49" customFormat="1" ht="16.5" customHeight="1" x14ac:dyDescent="0.2">
      <c r="A15" s="296"/>
      <c r="B15" s="297"/>
      <c r="C15" s="74"/>
      <c r="D15" s="80"/>
      <c r="E15" s="100" t="s">
        <v>898</v>
      </c>
    </row>
    <row r="16" spans="1:6" s="49" customFormat="1" ht="31.5" customHeight="1" x14ac:dyDescent="0.2">
      <c r="A16" s="237" t="s">
        <v>1162</v>
      </c>
      <c r="B16" s="238"/>
      <c r="C16" s="238"/>
      <c r="D16" s="238"/>
      <c r="E16" s="69">
        <v>900.69</v>
      </c>
    </row>
    <row r="17" spans="1:5" s="49" customFormat="1" ht="16.5" customHeight="1" x14ac:dyDescent="0.2">
      <c r="A17" s="157"/>
      <c r="B17" s="158"/>
      <c r="C17" s="158"/>
      <c r="D17" s="158"/>
      <c r="E17" s="69"/>
    </row>
    <row r="18" spans="1:5" s="49" customFormat="1" ht="16.5" customHeight="1" x14ac:dyDescent="0.2">
      <c r="A18" s="237" t="s">
        <v>1012</v>
      </c>
      <c r="B18" s="238"/>
      <c r="C18" s="238"/>
      <c r="D18" s="238"/>
      <c r="E18" s="69">
        <v>900.69</v>
      </c>
    </row>
    <row r="19" spans="1:5" s="39" customFormat="1" ht="14.25" customHeight="1" x14ac:dyDescent="0.2">
      <c r="A19" s="237" t="s">
        <v>1602</v>
      </c>
      <c r="B19" s="238"/>
      <c r="C19" s="238"/>
      <c r="D19" s="238"/>
      <c r="E19" s="46">
        <v>731.26</v>
      </c>
    </row>
    <row r="20" spans="1:5" s="39" customFormat="1" ht="16.5" customHeight="1" x14ac:dyDescent="0.2">
      <c r="A20" s="265" t="s">
        <v>1603</v>
      </c>
      <c r="B20" s="266"/>
      <c r="C20" s="266"/>
      <c r="D20" s="266"/>
      <c r="E20" s="172">
        <f>E16-E19</f>
        <v>169.43000000000006</v>
      </c>
    </row>
    <row r="21" spans="1:5" ht="14.25" customHeight="1" x14ac:dyDescent="0.2">
      <c r="A21" s="280"/>
      <c r="B21" s="281"/>
      <c r="C21" s="90"/>
      <c r="D21" s="90"/>
      <c r="E21" s="91"/>
    </row>
  </sheetData>
  <mergeCells count="9">
    <mergeCell ref="A19:D19"/>
    <mergeCell ref="A20:D20"/>
    <mergeCell ref="A21:B21"/>
    <mergeCell ref="A11:E11"/>
    <mergeCell ref="B13:E13"/>
    <mergeCell ref="B14:E14"/>
    <mergeCell ref="A15:B15"/>
    <mergeCell ref="A16:D16"/>
    <mergeCell ref="A18:D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FD65-D7C8-4557-80A6-07640DD43CE2}">
  <sheetPr>
    <tabColor theme="9" tint="-0.499984740745262"/>
  </sheetPr>
  <dimension ref="A1:F96"/>
  <sheetViews>
    <sheetView view="pageBreakPreview" zoomScale="90" zoomScaleNormal="95" zoomScaleSheetLayoutView="90" workbookViewId="0">
      <selection activeCell="G1" sqref="G1:G1048576"/>
    </sheetView>
  </sheetViews>
  <sheetFormatPr defaultColWidth="9" defaultRowHeight="12.75" x14ac:dyDescent="0.2"/>
  <cols>
    <col min="1" max="1" width="19.5" style="31" customWidth="1"/>
    <col min="2" max="2" width="12.875" style="31" customWidth="1"/>
    <col min="3" max="3" width="19" style="31" customWidth="1"/>
    <col min="4" max="4" width="17.125" style="31" customWidth="1"/>
    <col min="5" max="5" width="15" style="38" customWidth="1"/>
    <col min="6" max="6" width="0" style="29" hidden="1" customWidth="1"/>
    <col min="7" max="16384" width="9" style="29"/>
  </cols>
  <sheetData>
    <row r="1" spans="1:6" x14ac:dyDescent="0.2">
      <c r="A1" s="33"/>
      <c r="B1" s="34"/>
      <c r="C1" s="35"/>
      <c r="D1" s="35"/>
      <c r="E1" s="36"/>
    </row>
    <row r="2" spans="1:6" x14ac:dyDescent="0.2">
      <c r="A2" s="33" t="s">
        <v>820</v>
      </c>
      <c r="B2" s="34"/>
      <c r="C2" s="35"/>
      <c r="D2" s="35"/>
      <c r="E2" s="36"/>
    </row>
    <row r="3" spans="1:6" x14ac:dyDescent="0.2">
      <c r="A3" s="33" t="s">
        <v>2</v>
      </c>
      <c r="B3" s="34"/>
      <c r="C3" s="35"/>
      <c r="D3" s="35"/>
      <c r="E3" s="36"/>
    </row>
    <row r="4" spans="1:6" x14ac:dyDescent="0.2">
      <c r="A4" s="34" t="s">
        <v>1348</v>
      </c>
      <c r="B4" s="34"/>
      <c r="C4" s="35"/>
      <c r="D4" s="35"/>
      <c r="E4" s="35"/>
      <c r="F4" s="54"/>
    </row>
    <row r="5" spans="1:6" ht="13.5" thickBot="1" x14ac:dyDescent="0.25">
      <c r="A5" s="37"/>
      <c r="B5" s="38"/>
      <c r="C5" s="38"/>
      <c r="D5" s="38"/>
      <c r="E5" s="32"/>
    </row>
    <row r="6" spans="1:6" s="39" customFormat="1" ht="21" customHeight="1" thickBot="1" x14ac:dyDescent="0.25">
      <c r="A6" s="250" t="s">
        <v>1352</v>
      </c>
      <c r="B6" s="251"/>
      <c r="C6" s="251"/>
      <c r="D6" s="251"/>
      <c r="E6" s="252"/>
    </row>
    <row r="7" spans="1:6" x14ac:dyDescent="0.2">
      <c r="A7" s="30"/>
      <c r="E7" s="32"/>
    </row>
    <row r="8" spans="1:6" ht="17.25" customHeight="1" x14ac:dyDescent="0.2">
      <c r="A8" s="40" t="s">
        <v>907</v>
      </c>
      <c r="B8" s="234" t="s">
        <v>314</v>
      </c>
      <c r="C8" s="234"/>
      <c r="D8" s="234"/>
      <c r="E8" s="234"/>
    </row>
    <row r="9" spans="1:6" ht="17.25" customHeight="1" x14ac:dyDescent="0.2">
      <c r="A9" s="40" t="s">
        <v>1311</v>
      </c>
      <c r="B9" s="234" t="s">
        <v>316</v>
      </c>
      <c r="C9" s="234"/>
      <c r="D9" s="234"/>
      <c r="E9" s="234"/>
    </row>
    <row r="10" spans="1:6" s="39" customFormat="1" ht="52.5" customHeight="1" x14ac:dyDescent="0.2">
      <c r="A10" s="41" t="s">
        <v>1620</v>
      </c>
      <c r="B10" s="235" t="s">
        <v>342</v>
      </c>
      <c r="C10" s="235"/>
      <c r="D10" s="235"/>
      <c r="E10" s="235"/>
      <c r="F10" s="67" t="s">
        <v>864</v>
      </c>
    </row>
    <row r="11" spans="1:6" s="119" customFormat="1" ht="14.25" x14ac:dyDescent="0.2">
      <c r="A11" s="335" t="s">
        <v>1621</v>
      </c>
      <c r="B11" s="336"/>
      <c r="C11" s="336"/>
      <c r="D11" s="336"/>
      <c r="E11" s="174">
        <v>159.06</v>
      </c>
    </row>
    <row r="12" spans="1:6" customFormat="1" ht="14.25" x14ac:dyDescent="0.2">
      <c r="A12" s="120"/>
      <c r="B12" s="121"/>
      <c r="C12" s="121"/>
      <c r="D12" s="122"/>
      <c r="E12" s="123"/>
    </row>
    <row r="13" spans="1:6" s="49" customFormat="1" ht="16.5" customHeight="1" x14ac:dyDescent="0.2">
      <c r="A13" s="237" t="s">
        <v>1628</v>
      </c>
      <c r="B13" s="238"/>
      <c r="C13" s="238"/>
      <c r="D13" s="238"/>
      <c r="E13" s="46">
        <f>E11</f>
        <v>159.06</v>
      </c>
    </row>
    <row r="14" spans="1:6" s="39" customFormat="1" ht="16.5" customHeight="1" x14ac:dyDescent="0.2">
      <c r="A14" s="333" t="s">
        <v>1629</v>
      </c>
      <c r="B14" s="334"/>
      <c r="C14" s="334"/>
      <c r="D14" s="334"/>
      <c r="E14" s="127">
        <v>159.06</v>
      </c>
    </row>
    <row r="15" spans="1:6" s="39" customFormat="1" ht="24.75" customHeight="1" x14ac:dyDescent="0.2">
      <c r="A15" s="333" t="s">
        <v>1630</v>
      </c>
      <c r="B15" s="334"/>
      <c r="C15" s="334"/>
      <c r="D15" s="334"/>
      <c r="E15" s="127">
        <v>0</v>
      </c>
    </row>
    <row r="16" spans="1:6" s="39" customFormat="1" ht="16.5" customHeight="1" x14ac:dyDescent="0.2">
      <c r="A16" s="239" t="s">
        <v>1631</v>
      </c>
      <c r="B16" s="240"/>
      <c r="C16" s="240"/>
      <c r="D16" s="240"/>
      <c r="E16" s="68">
        <f>E13-E15</f>
        <v>159.06</v>
      </c>
    </row>
    <row r="17" spans="1:6" ht="14.25" customHeight="1" x14ac:dyDescent="0.2">
      <c r="A17" s="303"/>
      <c r="B17" s="304"/>
      <c r="C17" s="48"/>
      <c r="D17" s="48"/>
      <c r="E17" s="58"/>
    </row>
    <row r="18" spans="1:6" s="39" customFormat="1" ht="52.5" customHeight="1" x14ac:dyDescent="0.2">
      <c r="A18" s="41" t="s">
        <v>1622</v>
      </c>
      <c r="B18" s="235" t="s">
        <v>354</v>
      </c>
      <c r="C18" s="235"/>
      <c r="D18" s="235"/>
      <c r="E18" s="235"/>
      <c r="F18" s="67" t="s">
        <v>864</v>
      </c>
    </row>
    <row r="19" spans="1:6" s="119" customFormat="1" ht="14.25" x14ac:dyDescent="0.2">
      <c r="A19" s="335" t="s">
        <v>1623</v>
      </c>
      <c r="B19" s="336"/>
      <c r="C19" s="336"/>
      <c r="D19" s="336"/>
      <c r="E19" s="46">
        <v>5</v>
      </c>
    </row>
    <row r="20" spans="1:6" customFormat="1" ht="14.25" x14ac:dyDescent="0.2">
      <c r="A20" s="120"/>
      <c r="B20" s="121"/>
      <c r="C20" s="121"/>
      <c r="D20" s="122"/>
      <c r="E20" s="123"/>
    </row>
    <row r="21" spans="1:6" s="49" customFormat="1" ht="16.5" customHeight="1" x14ac:dyDescent="0.2">
      <c r="A21" s="237" t="s">
        <v>1624</v>
      </c>
      <c r="B21" s="238"/>
      <c r="C21" s="238"/>
      <c r="D21" s="238"/>
      <c r="E21" s="46">
        <f>E19</f>
        <v>5</v>
      </c>
    </row>
    <row r="22" spans="1:6" s="39" customFormat="1" ht="16.5" customHeight="1" x14ac:dyDescent="0.2">
      <c r="A22" s="333" t="s">
        <v>1625</v>
      </c>
      <c r="B22" s="334"/>
      <c r="C22" s="334"/>
      <c r="D22" s="334"/>
      <c r="E22" s="127">
        <v>5</v>
      </c>
    </row>
    <row r="23" spans="1:6" s="39" customFormat="1" ht="15.75" customHeight="1" x14ac:dyDescent="0.2">
      <c r="A23" s="333" t="s">
        <v>1626</v>
      </c>
      <c r="B23" s="334"/>
      <c r="C23" s="334"/>
      <c r="D23" s="334"/>
      <c r="E23" s="127">
        <v>0</v>
      </c>
    </row>
    <row r="24" spans="1:6" s="39" customFormat="1" ht="15" customHeight="1" x14ac:dyDescent="0.2">
      <c r="A24" s="239" t="s">
        <v>1627</v>
      </c>
      <c r="B24" s="240"/>
      <c r="C24" s="240"/>
      <c r="D24" s="240"/>
      <c r="E24" s="68">
        <f>E21-E23</f>
        <v>5</v>
      </c>
    </row>
    <row r="25" spans="1:6" ht="14.25" customHeight="1" x14ac:dyDescent="0.2">
      <c r="A25" s="303"/>
      <c r="B25" s="304"/>
      <c r="C25" s="48"/>
      <c r="D25" s="48"/>
      <c r="E25" s="58"/>
    </row>
    <row r="26" spans="1:6" ht="17.25" customHeight="1" x14ac:dyDescent="0.2">
      <c r="A26" s="40" t="s">
        <v>1124</v>
      </c>
      <c r="B26" s="234" t="s">
        <v>372</v>
      </c>
      <c r="C26" s="234"/>
      <c r="D26" s="234"/>
      <c r="E26" s="234"/>
    </row>
    <row r="27" spans="1:6" s="39" customFormat="1" ht="52.5" customHeight="1" x14ac:dyDescent="0.2">
      <c r="A27" s="41" t="s">
        <v>1644</v>
      </c>
      <c r="B27" s="235" t="s">
        <v>374</v>
      </c>
      <c r="C27" s="235"/>
      <c r="D27" s="235"/>
      <c r="E27" s="235"/>
      <c r="F27" s="67" t="s">
        <v>864</v>
      </c>
    </row>
    <row r="28" spans="1:6" s="119" customFormat="1" ht="14.25" x14ac:dyDescent="0.2">
      <c r="A28" s="335" t="s">
        <v>1645</v>
      </c>
      <c r="B28" s="336"/>
      <c r="C28" s="336"/>
      <c r="D28" s="336"/>
      <c r="E28" s="46">
        <v>1</v>
      </c>
    </row>
    <row r="29" spans="1:6" customFormat="1" ht="14.25" x14ac:dyDescent="0.2">
      <c r="A29" s="120"/>
      <c r="B29" s="121"/>
      <c r="C29" s="121"/>
      <c r="D29" s="122"/>
      <c r="E29" s="123"/>
    </row>
    <row r="30" spans="1:6" s="49" customFormat="1" ht="16.5" customHeight="1" x14ac:dyDescent="0.2">
      <c r="A30" s="237" t="s">
        <v>1646</v>
      </c>
      <c r="B30" s="238"/>
      <c r="C30" s="238"/>
      <c r="D30" s="238"/>
      <c r="E30" s="46">
        <f>E28</f>
        <v>1</v>
      </c>
    </row>
    <row r="31" spans="1:6" s="39" customFormat="1" ht="16.5" customHeight="1" x14ac:dyDescent="0.2">
      <c r="A31" s="333" t="s">
        <v>1647</v>
      </c>
      <c r="B31" s="334"/>
      <c r="C31" s="334"/>
      <c r="D31" s="334"/>
      <c r="E31" s="127">
        <v>1</v>
      </c>
    </row>
    <row r="32" spans="1:6" s="39" customFormat="1" ht="15.75" customHeight="1" x14ac:dyDescent="0.2">
      <c r="A32" s="333" t="s">
        <v>1648</v>
      </c>
      <c r="B32" s="334"/>
      <c r="C32" s="334"/>
      <c r="D32" s="334"/>
      <c r="E32" s="127">
        <v>0</v>
      </c>
    </row>
    <row r="33" spans="1:6" s="39" customFormat="1" ht="15" customHeight="1" x14ac:dyDescent="0.2">
      <c r="A33" s="239" t="s">
        <v>1649</v>
      </c>
      <c r="B33" s="240"/>
      <c r="C33" s="240"/>
      <c r="D33" s="240"/>
      <c r="E33" s="68">
        <f>E30-E32</f>
        <v>1</v>
      </c>
    </row>
    <row r="34" spans="1:6" ht="14.25" customHeight="1" x14ac:dyDescent="0.2">
      <c r="A34" s="303"/>
      <c r="B34" s="304"/>
      <c r="C34" s="48"/>
      <c r="D34" s="48"/>
      <c r="E34" s="58"/>
    </row>
    <row r="35" spans="1:6" s="39" customFormat="1" ht="41.25" hidden="1" customHeight="1" x14ac:dyDescent="0.2">
      <c r="A35" s="41" t="s">
        <v>1312</v>
      </c>
      <c r="B35" s="235" t="s">
        <v>376</v>
      </c>
      <c r="C35" s="235"/>
      <c r="D35" s="235"/>
      <c r="E35" s="235"/>
      <c r="F35" s="67" t="s">
        <v>864</v>
      </c>
    </row>
    <row r="36" spans="1:6" s="119" customFormat="1" ht="14.25" hidden="1" x14ac:dyDescent="0.2">
      <c r="A36" s="115" t="s">
        <v>1313</v>
      </c>
      <c r="B36" s="116"/>
      <c r="C36" s="117"/>
      <c r="D36" s="117" t="s">
        <v>878</v>
      </c>
      <c r="E36" s="118" t="s">
        <v>1086</v>
      </c>
    </row>
    <row r="37" spans="1:6" customFormat="1" ht="14.25" hidden="1" x14ac:dyDescent="0.2">
      <c r="A37" s="120" t="s">
        <v>1314</v>
      </c>
      <c r="B37" s="121"/>
      <c r="C37" s="121"/>
      <c r="D37" s="122">
        <f>7*2</f>
        <v>14</v>
      </c>
      <c r="E37" s="123">
        <f>D37</f>
        <v>14</v>
      </c>
    </row>
    <row r="38" spans="1:6" customFormat="1" ht="14.25" hidden="1" x14ac:dyDescent="0.2">
      <c r="A38" s="120" t="s">
        <v>1315</v>
      </c>
      <c r="B38" s="121"/>
      <c r="C38" s="121"/>
      <c r="D38" s="122">
        <f>2*2</f>
        <v>4</v>
      </c>
      <c r="E38" s="123">
        <f t="shared" ref="E38:E52" si="0">D38</f>
        <v>4</v>
      </c>
    </row>
    <row r="39" spans="1:6" customFormat="1" ht="14.25" hidden="1" x14ac:dyDescent="0.2">
      <c r="A39" s="120" t="s">
        <v>1316</v>
      </c>
      <c r="B39" s="121"/>
      <c r="C39" s="121"/>
      <c r="D39" s="122">
        <f>7*2</f>
        <v>14</v>
      </c>
      <c r="E39" s="123">
        <f t="shared" si="0"/>
        <v>14</v>
      </c>
    </row>
    <row r="40" spans="1:6" customFormat="1" ht="14.25" hidden="1" x14ac:dyDescent="0.2">
      <c r="A40" s="120" t="s">
        <v>1121</v>
      </c>
      <c r="B40" s="121"/>
      <c r="C40" s="121"/>
      <c r="D40" s="145">
        <v>2</v>
      </c>
      <c r="E40" s="146">
        <f>D40</f>
        <v>2</v>
      </c>
    </row>
    <row r="41" spans="1:6" customFormat="1" ht="14.25" hidden="1" x14ac:dyDescent="0.2">
      <c r="A41" s="147" t="s">
        <v>1317</v>
      </c>
      <c r="B41" s="121"/>
      <c r="C41" s="121"/>
      <c r="D41" s="122"/>
      <c r="E41" s="123"/>
    </row>
    <row r="42" spans="1:6" customFormat="1" ht="14.25" hidden="1" x14ac:dyDescent="0.2">
      <c r="A42" s="147" t="s">
        <v>1032</v>
      </c>
      <c r="B42" s="121"/>
      <c r="C42" s="121"/>
      <c r="D42" s="122"/>
      <c r="E42" s="123"/>
    </row>
    <row r="43" spans="1:6" customFormat="1" ht="14.25" hidden="1" x14ac:dyDescent="0.2">
      <c r="A43" s="120" t="s">
        <v>1088</v>
      </c>
      <c r="B43" s="121"/>
      <c r="C43" s="121"/>
      <c r="D43" s="122">
        <v>11</v>
      </c>
      <c r="E43" s="123">
        <f t="shared" si="0"/>
        <v>11</v>
      </c>
    </row>
    <row r="44" spans="1:6" customFormat="1" ht="14.25" hidden="1" x14ac:dyDescent="0.2">
      <c r="A44" s="120" t="s">
        <v>1087</v>
      </c>
      <c r="B44" s="121"/>
      <c r="C44" s="121"/>
      <c r="D44" s="122">
        <v>11</v>
      </c>
      <c r="E44" s="123">
        <f t="shared" si="0"/>
        <v>11</v>
      </c>
    </row>
    <row r="45" spans="1:6" customFormat="1" ht="14.25" hidden="1" x14ac:dyDescent="0.2">
      <c r="A45" s="120" t="s">
        <v>1084</v>
      </c>
      <c r="B45" s="121"/>
      <c r="C45" s="121"/>
      <c r="D45" s="122">
        <v>2</v>
      </c>
      <c r="E45" s="123">
        <f t="shared" si="0"/>
        <v>2</v>
      </c>
    </row>
    <row r="46" spans="1:6" customFormat="1" ht="14.25" hidden="1" x14ac:dyDescent="0.2">
      <c r="A46" s="120" t="s">
        <v>1090</v>
      </c>
      <c r="B46" s="121"/>
      <c r="C46" s="121"/>
      <c r="D46" s="122">
        <v>10</v>
      </c>
      <c r="E46" s="123">
        <f t="shared" si="0"/>
        <v>10</v>
      </c>
    </row>
    <row r="47" spans="1:6" customFormat="1" ht="14.25" hidden="1" x14ac:dyDescent="0.2">
      <c r="A47" s="120" t="s">
        <v>1089</v>
      </c>
      <c r="B47" s="121"/>
      <c r="C47" s="121"/>
      <c r="D47" s="122">
        <v>9</v>
      </c>
      <c r="E47" s="123">
        <f t="shared" si="0"/>
        <v>9</v>
      </c>
    </row>
    <row r="48" spans="1:6" customFormat="1" ht="14.25" hidden="1" x14ac:dyDescent="0.2">
      <c r="A48" s="147" t="s">
        <v>905</v>
      </c>
      <c r="B48" s="121"/>
      <c r="C48" s="121"/>
      <c r="D48" s="122"/>
      <c r="E48" s="123"/>
    </row>
    <row r="49" spans="1:5" customFormat="1" ht="14.25" hidden="1" x14ac:dyDescent="0.2">
      <c r="A49" s="120" t="s">
        <v>876</v>
      </c>
      <c r="B49" s="121"/>
      <c r="C49" s="121"/>
      <c r="D49" s="122">
        <v>4</v>
      </c>
      <c r="E49" s="123">
        <f t="shared" si="0"/>
        <v>4</v>
      </c>
    </row>
    <row r="50" spans="1:5" customFormat="1" ht="14.25" hidden="1" x14ac:dyDescent="0.2">
      <c r="A50" s="120" t="s">
        <v>877</v>
      </c>
      <c r="B50" s="121"/>
      <c r="C50" s="121"/>
      <c r="D50" s="122">
        <v>4</v>
      </c>
      <c r="E50" s="123">
        <f t="shared" si="0"/>
        <v>4</v>
      </c>
    </row>
    <row r="51" spans="1:5" customFormat="1" ht="14.25" hidden="1" x14ac:dyDescent="0.2">
      <c r="A51" s="120" t="s">
        <v>903</v>
      </c>
      <c r="B51" s="121"/>
      <c r="C51" s="121"/>
      <c r="D51" s="122">
        <v>4</v>
      </c>
      <c r="E51" s="123">
        <f t="shared" si="0"/>
        <v>4</v>
      </c>
    </row>
    <row r="52" spans="1:5" customFormat="1" ht="14.25" hidden="1" x14ac:dyDescent="0.2">
      <c r="A52" s="120" t="s">
        <v>919</v>
      </c>
      <c r="B52" s="121"/>
      <c r="C52" s="121"/>
      <c r="D52" s="122">
        <f>4*8</f>
        <v>32</v>
      </c>
      <c r="E52" s="123">
        <f t="shared" si="0"/>
        <v>32</v>
      </c>
    </row>
    <row r="53" spans="1:5" customFormat="1" ht="14.25" hidden="1" x14ac:dyDescent="0.2">
      <c r="A53" s="147" t="s">
        <v>909</v>
      </c>
      <c r="B53" s="121"/>
      <c r="C53" s="121"/>
      <c r="D53" s="122"/>
      <c r="E53" s="123"/>
    </row>
    <row r="54" spans="1:5" customFormat="1" ht="14.25" hidden="1" x14ac:dyDescent="0.2">
      <c r="A54" s="120" t="s">
        <v>876</v>
      </c>
      <c r="B54" s="121"/>
      <c r="C54" s="121"/>
      <c r="D54" s="122">
        <v>4</v>
      </c>
      <c r="E54" s="123">
        <f t="shared" ref="E54:E57" si="1">D54</f>
        <v>4</v>
      </c>
    </row>
    <row r="55" spans="1:5" customFormat="1" ht="14.25" hidden="1" x14ac:dyDescent="0.2">
      <c r="A55" s="120" t="s">
        <v>877</v>
      </c>
      <c r="B55" s="121"/>
      <c r="C55" s="121"/>
      <c r="D55" s="122">
        <v>4</v>
      </c>
      <c r="E55" s="123">
        <f t="shared" si="1"/>
        <v>4</v>
      </c>
    </row>
    <row r="56" spans="1:5" customFormat="1" ht="14.25" hidden="1" x14ac:dyDescent="0.2">
      <c r="A56" s="120" t="s">
        <v>903</v>
      </c>
      <c r="B56" s="121"/>
      <c r="C56" s="121"/>
      <c r="D56" s="122">
        <v>4</v>
      </c>
      <c r="E56" s="123">
        <f t="shared" si="1"/>
        <v>4</v>
      </c>
    </row>
    <row r="57" spans="1:5" customFormat="1" ht="14.25" hidden="1" x14ac:dyDescent="0.2">
      <c r="A57" s="120" t="s">
        <v>919</v>
      </c>
      <c r="B57" s="121"/>
      <c r="C57" s="121"/>
      <c r="D57" s="122">
        <f>4*8</f>
        <v>32</v>
      </c>
      <c r="E57" s="123">
        <f t="shared" si="1"/>
        <v>32</v>
      </c>
    </row>
    <row r="58" spans="1:5" customFormat="1" ht="14.25" hidden="1" x14ac:dyDescent="0.2">
      <c r="A58" s="147" t="s">
        <v>910</v>
      </c>
      <c r="B58" s="121"/>
      <c r="C58" s="121"/>
      <c r="D58" s="122"/>
      <c r="E58" s="123"/>
    </row>
    <row r="59" spans="1:5" customFormat="1" ht="14.25" hidden="1" x14ac:dyDescent="0.2">
      <c r="A59" s="120" t="s">
        <v>876</v>
      </c>
      <c r="B59" s="121"/>
      <c r="C59" s="121"/>
      <c r="D59" s="122">
        <v>4</v>
      </c>
      <c r="E59" s="123">
        <f t="shared" ref="E59:E62" si="2">D59</f>
        <v>4</v>
      </c>
    </row>
    <row r="60" spans="1:5" customFormat="1" ht="14.25" hidden="1" x14ac:dyDescent="0.2">
      <c r="A60" s="120" t="s">
        <v>877</v>
      </c>
      <c r="B60" s="121"/>
      <c r="C60" s="121"/>
      <c r="D60" s="122">
        <v>4</v>
      </c>
      <c r="E60" s="123">
        <f t="shared" si="2"/>
        <v>4</v>
      </c>
    </row>
    <row r="61" spans="1:5" customFormat="1" ht="14.25" hidden="1" x14ac:dyDescent="0.2">
      <c r="A61" s="120" t="s">
        <v>903</v>
      </c>
      <c r="B61" s="121"/>
      <c r="C61" s="121"/>
      <c r="D61" s="122">
        <v>4</v>
      </c>
      <c r="E61" s="123">
        <f t="shared" si="2"/>
        <v>4</v>
      </c>
    </row>
    <row r="62" spans="1:5" customFormat="1" ht="14.25" hidden="1" x14ac:dyDescent="0.2">
      <c r="A62" s="120" t="s">
        <v>919</v>
      </c>
      <c r="B62" s="121"/>
      <c r="C62" s="121"/>
      <c r="D62" s="122">
        <f>4*8</f>
        <v>32</v>
      </c>
      <c r="E62" s="123">
        <f t="shared" si="2"/>
        <v>32</v>
      </c>
    </row>
    <row r="63" spans="1:5" customFormat="1" ht="14.25" hidden="1" x14ac:dyDescent="0.2">
      <c r="A63" s="147" t="s">
        <v>956</v>
      </c>
      <c r="B63" s="121"/>
      <c r="C63" s="121"/>
      <c r="D63" s="122"/>
      <c r="E63" s="123"/>
    </row>
    <row r="64" spans="1:5" customFormat="1" ht="14.25" hidden="1" x14ac:dyDescent="0.2">
      <c r="A64" s="120" t="s">
        <v>876</v>
      </c>
      <c r="B64" s="121"/>
      <c r="C64" s="121"/>
      <c r="D64" s="122">
        <v>4</v>
      </c>
      <c r="E64" s="123">
        <f t="shared" ref="E64:E67" si="3">D64</f>
        <v>4</v>
      </c>
    </row>
    <row r="65" spans="1:6" customFormat="1" ht="14.25" hidden="1" x14ac:dyDescent="0.2">
      <c r="A65" s="120" t="s">
        <v>877</v>
      </c>
      <c r="B65" s="121"/>
      <c r="C65" s="121"/>
      <c r="D65" s="122">
        <v>4</v>
      </c>
      <c r="E65" s="123">
        <f t="shared" si="3"/>
        <v>4</v>
      </c>
    </row>
    <row r="66" spans="1:6" customFormat="1" ht="14.25" hidden="1" x14ac:dyDescent="0.2">
      <c r="A66" s="120" t="s">
        <v>903</v>
      </c>
      <c r="B66" s="121"/>
      <c r="C66" s="121"/>
      <c r="D66" s="122">
        <v>4</v>
      </c>
      <c r="E66" s="123">
        <f t="shared" si="3"/>
        <v>4</v>
      </c>
    </row>
    <row r="67" spans="1:6" customFormat="1" ht="14.25" hidden="1" x14ac:dyDescent="0.2">
      <c r="A67" s="120" t="s">
        <v>919</v>
      </c>
      <c r="B67" s="121"/>
      <c r="C67" s="121"/>
      <c r="D67" s="122">
        <f>4*8</f>
        <v>32</v>
      </c>
      <c r="E67" s="123">
        <f t="shared" si="3"/>
        <v>32</v>
      </c>
    </row>
    <row r="68" spans="1:6" s="49" customFormat="1" ht="16.5" hidden="1" customHeight="1" x14ac:dyDescent="0.2">
      <c r="A68" s="237" t="s">
        <v>1318</v>
      </c>
      <c r="B68" s="238"/>
      <c r="C68" s="238"/>
      <c r="D68" s="238"/>
      <c r="E68" s="46">
        <f>SUM(E37:F67)</f>
        <v>253</v>
      </c>
    </row>
    <row r="69" spans="1:6" s="39" customFormat="1" ht="16.5" hidden="1" customHeight="1" x14ac:dyDescent="0.2">
      <c r="A69" s="333" t="s">
        <v>1319</v>
      </c>
      <c r="B69" s="334"/>
      <c r="C69" s="334"/>
      <c r="D69" s="334"/>
      <c r="E69" s="127">
        <v>253</v>
      </c>
    </row>
    <row r="70" spans="1:6" s="39" customFormat="1" ht="16.5" hidden="1" customHeight="1" x14ac:dyDescent="0.2">
      <c r="A70" s="333" t="s">
        <v>1322</v>
      </c>
      <c r="B70" s="334"/>
      <c r="C70" s="334"/>
      <c r="D70" s="334"/>
      <c r="E70" s="127">
        <v>105</v>
      </c>
    </row>
    <row r="71" spans="1:6" s="39" customFormat="1" ht="16.5" hidden="1" customHeight="1" x14ac:dyDescent="0.2">
      <c r="A71" s="239" t="s">
        <v>1323</v>
      </c>
      <c r="B71" s="240"/>
      <c r="C71" s="240"/>
      <c r="D71" s="240"/>
      <c r="E71" s="68">
        <f>E68-E70</f>
        <v>148</v>
      </c>
    </row>
    <row r="72" spans="1:6" ht="14.25" hidden="1" customHeight="1" x14ac:dyDescent="0.2">
      <c r="A72" s="303"/>
      <c r="B72" s="304"/>
      <c r="C72" s="48"/>
      <c r="D72" s="48"/>
      <c r="E72" s="58"/>
    </row>
    <row r="73" spans="1:6" s="39" customFormat="1" ht="51.75" customHeight="1" x14ac:dyDescent="0.2">
      <c r="A73" s="41" t="s">
        <v>1650</v>
      </c>
      <c r="B73" s="235" t="s">
        <v>340</v>
      </c>
      <c r="C73" s="235"/>
      <c r="D73" s="235"/>
      <c r="E73" s="235"/>
      <c r="F73" s="67" t="s">
        <v>864</v>
      </c>
    </row>
    <row r="74" spans="1:6" s="119" customFormat="1" ht="14.25" x14ac:dyDescent="0.2">
      <c r="A74" s="335" t="s">
        <v>1651</v>
      </c>
      <c r="B74" s="336"/>
      <c r="C74" s="336"/>
      <c r="D74" s="336"/>
      <c r="E74" s="46">
        <v>66.72</v>
      </c>
    </row>
    <row r="75" spans="1:6" customFormat="1" ht="14.25" x14ac:dyDescent="0.2">
      <c r="A75" s="148"/>
      <c r="B75" s="121"/>
      <c r="C75" s="121"/>
      <c r="D75" s="122"/>
      <c r="E75" s="123"/>
    </row>
    <row r="76" spans="1:6" s="49" customFormat="1" ht="16.5" customHeight="1" x14ac:dyDescent="0.2">
      <c r="A76" s="237" t="s">
        <v>1652</v>
      </c>
      <c r="B76" s="238"/>
      <c r="C76" s="238"/>
      <c r="D76" s="238"/>
      <c r="E76" s="46">
        <f>E74</f>
        <v>66.72</v>
      </c>
    </row>
    <row r="77" spans="1:6" s="39" customFormat="1" ht="16.5" customHeight="1" x14ac:dyDescent="0.2">
      <c r="A77" s="333" t="s">
        <v>1653</v>
      </c>
      <c r="B77" s="334"/>
      <c r="C77" s="334"/>
      <c r="D77" s="334"/>
      <c r="E77" s="127">
        <v>66.2</v>
      </c>
    </row>
    <row r="78" spans="1:6" s="39" customFormat="1" ht="16.5" customHeight="1" x14ac:dyDescent="0.2">
      <c r="A78" s="333" t="s">
        <v>1656</v>
      </c>
      <c r="B78" s="334"/>
      <c r="C78" s="334"/>
      <c r="D78" s="334"/>
      <c r="E78" s="127">
        <v>0</v>
      </c>
    </row>
    <row r="79" spans="1:6" s="39" customFormat="1" ht="16.5" customHeight="1" x14ac:dyDescent="0.2">
      <c r="A79" s="239" t="s">
        <v>1657</v>
      </c>
      <c r="B79" s="240"/>
      <c r="C79" s="240"/>
      <c r="D79" s="240"/>
      <c r="E79" s="68">
        <f>E76-E78</f>
        <v>66.72</v>
      </c>
    </row>
    <row r="80" spans="1:6" ht="14.25" customHeight="1" x14ac:dyDescent="0.2">
      <c r="A80" s="303"/>
      <c r="B80" s="304"/>
      <c r="C80" s="48"/>
      <c r="D80" s="48"/>
      <c r="E80" s="58"/>
    </row>
    <row r="81" spans="1:6" s="39" customFormat="1" ht="40.5" customHeight="1" x14ac:dyDescent="0.2">
      <c r="A81" s="41" t="s">
        <v>1654</v>
      </c>
      <c r="B81" s="235" t="s">
        <v>336</v>
      </c>
      <c r="C81" s="235"/>
      <c r="D81" s="235"/>
      <c r="E81" s="235"/>
      <c r="F81" s="67" t="s">
        <v>864</v>
      </c>
    </row>
    <row r="82" spans="1:6" s="119" customFormat="1" ht="14.25" x14ac:dyDescent="0.2">
      <c r="A82" s="335" t="s">
        <v>1651</v>
      </c>
      <c r="B82" s="336"/>
      <c r="C82" s="336"/>
      <c r="D82" s="336"/>
      <c r="E82" s="46">
        <v>9.4499999999999993</v>
      </c>
    </row>
    <row r="83" spans="1:6" customFormat="1" ht="14.25" x14ac:dyDescent="0.2">
      <c r="A83" s="148"/>
      <c r="B83" s="121"/>
      <c r="C83" s="121"/>
      <c r="D83" s="122"/>
      <c r="E83" s="123"/>
    </row>
    <row r="84" spans="1:6" s="49" customFormat="1" ht="16.5" customHeight="1" x14ac:dyDescent="0.2">
      <c r="A84" s="237" t="s">
        <v>1652</v>
      </c>
      <c r="B84" s="238"/>
      <c r="C84" s="238"/>
      <c r="D84" s="238"/>
      <c r="E84" s="46">
        <f>E82</f>
        <v>9.4499999999999993</v>
      </c>
    </row>
    <row r="85" spans="1:6" s="39" customFormat="1" ht="16.5" customHeight="1" x14ac:dyDescent="0.2">
      <c r="A85" s="333" t="s">
        <v>1653</v>
      </c>
      <c r="B85" s="334"/>
      <c r="C85" s="334"/>
      <c r="D85" s="334"/>
      <c r="E85" s="127">
        <v>9.4499999999999993</v>
      </c>
    </row>
    <row r="86" spans="1:6" s="39" customFormat="1" ht="16.5" customHeight="1" x14ac:dyDescent="0.2">
      <c r="A86" s="333" t="s">
        <v>1656</v>
      </c>
      <c r="B86" s="334"/>
      <c r="C86" s="334"/>
      <c r="D86" s="334"/>
      <c r="E86" s="127">
        <v>0</v>
      </c>
    </row>
    <row r="87" spans="1:6" s="39" customFormat="1" ht="16.5" customHeight="1" x14ac:dyDescent="0.2">
      <c r="A87" s="239" t="s">
        <v>1657</v>
      </c>
      <c r="B87" s="240"/>
      <c r="C87" s="240"/>
      <c r="D87" s="240"/>
      <c r="E87" s="68">
        <f>E84-E86</f>
        <v>9.4499999999999993</v>
      </c>
    </row>
    <row r="88" spans="1:6" ht="14.25" customHeight="1" x14ac:dyDescent="0.2">
      <c r="A88" s="303"/>
      <c r="B88" s="304"/>
      <c r="C88" s="48"/>
      <c r="D88" s="48"/>
      <c r="E88" s="58"/>
    </row>
    <row r="89" spans="1:6" s="39" customFormat="1" ht="40.5" customHeight="1" x14ac:dyDescent="0.2">
      <c r="A89" s="41" t="s">
        <v>1655</v>
      </c>
      <c r="B89" s="235" t="s">
        <v>338</v>
      </c>
      <c r="C89" s="235"/>
      <c r="D89" s="235"/>
      <c r="E89" s="235"/>
      <c r="F89" s="67" t="s">
        <v>864</v>
      </c>
    </row>
    <row r="90" spans="1:6" s="119" customFormat="1" ht="14.25" x14ac:dyDescent="0.2">
      <c r="A90" s="335" t="s">
        <v>1651</v>
      </c>
      <c r="B90" s="336"/>
      <c r="C90" s="336"/>
      <c r="D90" s="336"/>
      <c r="E90" s="46">
        <v>5.8</v>
      </c>
    </row>
    <row r="91" spans="1:6" customFormat="1" ht="14.25" x14ac:dyDescent="0.2">
      <c r="A91" s="148"/>
      <c r="B91" s="121"/>
      <c r="C91" s="121"/>
      <c r="D91" s="122"/>
      <c r="E91" s="123"/>
    </row>
    <row r="92" spans="1:6" s="49" customFormat="1" ht="16.5" customHeight="1" x14ac:dyDescent="0.2">
      <c r="A92" s="237" t="s">
        <v>1652</v>
      </c>
      <c r="B92" s="238"/>
      <c r="C92" s="238"/>
      <c r="D92" s="238"/>
      <c r="E92" s="46">
        <f>E90</f>
        <v>5.8</v>
      </c>
    </row>
    <row r="93" spans="1:6" s="39" customFormat="1" ht="16.5" customHeight="1" x14ac:dyDescent="0.2">
      <c r="A93" s="333" t="s">
        <v>1653</v>
      </c>
      <c r="B93" s="334"/>
      <c r="C93" s="334"/>
      <c r="D93" s="334"/>
      <c r="E93" s="127">
        <v>5.8</v>
      </c>
    </row>
    <row r="94" spans="1:6" s="39" customFormat="1" ht="16.5" customHeight="1" x14ac:dyDescent="0.2">
      <c r="A94" s="333" t="s">
        <v>1656</v>
      </c>
      <c r="B94" s="334"/>
      <c r="C94" s="334"/>
      <c r="D94" s="334"/>
      <c r="E94" s="127">
        <v>0</v>
      </c>
    </row>
    <row r="95" spans="1:6" s="39" customFormat="1" ht="16.5" customHeight="1" x14ac:dyDescent="0.2">
      <c r="A95" s="239" t="s">
        <v>1657</v>
      </c>
      <c r="B95" s="240"/>
      <c r="C95" s="240"/>
      <c r="D95" s="240"/>
      <c r="E95" s="68">
        <f>E92-E94</f>
        <v>5.8</v>
      </c>
    </row>
    <row r="96" spans="1:6" ht="14.25" customHeight="1" x14ac:dyDescent="0.2">
      <c r="A96" s="303"/>
      <c r="B96" s="304"/>
      <c r="C96" s="48"/>
      <c r="D96" s="48"/>
      <c r="E96" s="58"/>
    </row>
  </sheetData>
  <mergeCells count="52">
    <mergeCell ref="A15:D15"/>
    <mergeCell ref="A6:E6"/>
    <mergeCell ref="B8:E8"/>
    <mergeCell ref="B9:E9"/>
    <mergeCell ref="B10:E10"/>
    <mergeCell ref="A13:D13"/>
    <mergeCell ref="A11:D11"/>
    <mergeCell ref="A14:D14"/>
    <mergeCell ref="A21:D21"/>
    <mergeCell ref="A22:D22"/>
    <mergeCell ref="A70:D70"/>
    <mergeCell ref="A69:D69"/>
    <mergeCell ref="A34:B34"/>
    <mergeCell ref="A90:D90"/>
    <mergeCell ref="A71:D71"/>
    <mergeCell ref="A72:B72"/>
    <mergeCell ref="B73:E73"/>
    <mergeCell ref="A76:D76"/>
    <mergeCell ref="A74:D74"/>
    <mergeCell ref="A88:B88"/>
    <mergeCell ref="A93:D93"/>
    <mergeCell ref="A94:D94"/>
    <mergeCell ref="A95:D95"/>
    <mergeCell ref="A96:B96"/>
    <mergeCell ref="A77:D77"/>
    <mergeCell ref="A78:D78"/>
    <mergeCell ref="A86:D86"/>
    <mergeCell ref="A87:D87"/>
    <mergeCell ref="A79:D79"/>
    <mergeCell ref="A80:B80"/>
    <mergeCell ref="B81:E81"/>
    <mergeCell ref="A84:D84"/>
    <mergeCell ref="A85:D85"/>
    <mergeCell ref="A82:D82"/>
    <mergeCell ref="B89:E89"/>
    <mergeCell ref="A92:D92"/>
    <mergeCell ref="A16:D16"/>
    <mergeCell ref="A17:B17"/>
    <mergeCell ref="B26:E26"/>
    <mergeCell ref="B35:E35"/>
    <mergeCell ref="A68:D68"/>
    <mergeCell ref="A23:D23"/>
    <mergeCell ref="A24:D24"/>
    <mergeCell ref="A25:B25"/>
    <mergeCell ref="B27:E27"/>
    <mergeCell ref="A28:D28"/>
    <mergeCell ref="A30:D30"/>
    <mergeCell ref="A31:D31"/>
    <mergeCell ref="A32:D32"/>
    <mergeCell ref="A33:D33"/>
    <mergeCell ref="B18:E18"/>
    <mergeCell ref="A19:D19"/>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C8A7-839F-490A-B7B7-BC10DE986506}">
  <sheetPr>
    <tabColor theme="9" tint="-0.499984740745262"/>
  </sheetPr>
  <dimension ref="A1:D202"/>
  <sheetViews>
    <sheetView view="pageBreakPreview" topLeftCell="A10" zoomScale="90" zoomScaleNormal="95" zoomScaleSheetLayoutView="90" workbookViewId="0">
      <selection activeCell="E10" sqref="E1:E1048576"/>
    </sheetView>
  </sheetViews>
  <sheetFormatPr defaultColWidth="9" defaultRowHeight="12.75" x14ac:dyDescent="0.2"/>
  <cols>
    <col min="1" max="1" width="14.625" style="31" customWidth="1"/>
    <col min="2" max="2" width="16.625" style="31" customWidth="1"/>
    <col min="3" max="3" width="26.625" style="31" customWidth="1"/>
    <col min="4" max="4" width="18.75" style="38" customWidth="1"/>
    <col min="5" max="16384" width="9" style="29"/>
  </cols>
  <sheetData>
    <row r="1" spans="1:4" x14ac:dyDescent="0.2">
      <c r="A1" s="30"/>
      <c r="D1" s="32"/>
    </row>
    <row r="2" spans="1:4" x14ac:dyDescent="0.2">
      <c r="A2" s="34"/>
      <c r="B2" s="34"/>
      <c r="C2" s="35"/>
      <c r="D2" s="54"/>
    </row>
    <row r="3" spans="1:4" x14ac:dyDescent="0.2">
      <c r="A3" s="34" t="s">
        <v>820</v>
      </c>
      <c r="B3" s="34"/>
      <c r="C3" s="35"/>
      <c r="D3" s="54"/>
    </row>
    <row r="4" spans="1:4" x14ac:dyDescent="0.2">
      <c r="A4" s="34" t="s">
        <v>2</v>
      </c>
      <c r="B4" s="34"/>
      <c r="C4" s="35"/>
      <c r="D4" s="54"/>
    </row>
    <row r="5" spans="1:4" x14ac:dyDescent="0.2">
      <c r="A5" s="34" t="s">
        <v>1348</v>
      </c>
      <c r="B5" s="34"/>
      <c r="C5" s="35"/>
      <c r="D5" s="35"/>
    </row>
    <row r="6" spans="1:4" ht="13.5" thickBot="1" x14ac:dyDescent="0.25">
      <c r="A6" s="55"/>
      <c r="B6" s="55"/>
      <c r="C6" s="55"/>
      <c r="D6" s="55"/>
    </row>
    <row r="7" spans="1:4" s="39" customFormat="1" ht="21" customHeight="1" thickBot="1" x14ac:dyDescent="0.25">
      <c r="A7" s="250" t="s">
        <v>1352</v>
      </c>
      <c r="B7" s="251"/>
      <c r="C7" s="251"/>
      <c r="D7" s="252"/>
    </row>
    <row r="8" spans="1:4" x14ac:dyDescent="0.2">
      <c r="A8" s="30"/>
      <c r="D8" s="32"/>
    </row>
    <row r="9" spans="1:4" ht="17.25" customHeight="1" x14ac:dyDescent="0.2">
      <c r="A9" s="40" t="s">
        <v>916</v>
      </c>
      <c r="B9" s="234" t="s">
        <v>422</v>
      </c>
      <c r="C9" s="234"/>
      <c r="D9" s="234"/>
    </row>
    <row r="10" spans="1:4" ht="17.25" customHeight="1" x14ac:dyDescent="0.2">
      <c r="A10" s="128" t="s">
        <v>1178</v>
      </c>
      <c r="B10" s="293" t="s">
        <v>1179</v>
      </c>
      <c r="C10" s="293"/>
      <c r="D10" s="293"/>
    </row>
    <row r="11" spans="1:4" s="39" customFormat="1" ht="58.5" customHeight="1" x14ac:dyDescent="0.2">
      <c r="A11" s="41" t="s">
        <v>1180</v>
      </c>
      <c r="B11" s="253" t="s">
        <v>426</v>
      </c>
      <c r="C11" s="254"/>
      <c r="D11" s="255"/>
    </row>
    <row r="12" spans="1:4" s="119" customFormat="1" ht="14.25" x14ac:dyDescent="0.2">
      <c r="A12" s="337" t="s">
        <v>821</v>
      </c>
      <c r="B12" s="338"/>
      <c r="C12" s="117" t="s">
        <v>878</v>
      </c>
      <c r="D12" s="117" t="s">
        <v>1086</v>
      </c>
    </row>
    <row r="13" spans="1:4" s="49" customFormat="1" ht="15" customHeight="1" x14ac:dyDescent="0.2">
      <c r="A13" s="113" t="s">
        <v>1855</v>
      </c>
      <c r="B13" s="74"/>
      <c r="C13" s="179">
        <v>85</v>
      </c>
      <c r="D13" s="179">
        <f>C13</f>
        <v>85</v>
      </c>
    </row>
    <row r="14" spans="1:4" s="49" customFormat="1" ht="15" customHeight="1" x14ac:dyDescent="0.2">
      <c r="A14" s="103" t="s">
        <v>1856</v>
      </c>
      <c r="B14" s="74"/>
      <c r="C14" s="179">
        <v>65</v>
      </c>
      <c r="D14" s="179">
        <f t="shared" ref="D14:D20" si="0">C14</f>
        <v>65</v>
      </c>
    </row>
    <row r="15" spans="1:4" s="49" customFormat="1" ht="16.5" customHeight="1" x14ac:dyDescent="0.2">
      <c r="A15" s="113" t="s">
        <v>1032</v>
      </c>
      <c r="B15" s="74"/>
      <c r="C15" s="180">
        <v>154</v>
      </c>
      <c r="D15" s="180">
        <f t="shared" si="0"/>
        <v>154</v>
      </c>
    </row>
    <row r="16" spans="1:4" s="49" customFormat="1" ht="16.5" customHeight="1" x14ac:dyDescent="0.2">
      <c r="A16" s="113" t="s">
        <v>1857</v>
      </c>
      <c r="B16" s="74"/>
      <c r="C16" s="180">
        <v>83</v>
      </c>
      <c r="D16" s="180">
        <f t="shared" si="0"/>
        <v>83</v>
      </c>
    </row>
    <row r="17" spans="1:4" s="49" customFormat="1" ht="16.5" customHeight="1" x14ac:dyDescent="0.2">
      <c r="A17" s="73" t="s">
        <v>1858</v>
      </c>
      <c r="B17" s="74"/>
      <c r="C17" s="180">
        <v>96</v>
      </c>
      <c r="D17" s="180">
        <f t="shared" si="0"/>
        <v>96</v>
      </c>
    </row>
    <row r="18" spans="1:4" s="49" customFormat="1" ht="16.5" customHeight="1" x14ac:dyDescent="0.2">
      <c r="A18" s="73" t="s">
        <v>1359</v>
      </c>
      <c r="B18" s="74"/>
      <c r="C18" s="180">
        <v>96</v>
      </c>
      <c r="D18" s="180">
        <f t="shared" si="0"/>
        <v>96</v>
      </c>
    </row>
    <row r="19" spans="1:4" s="49" customFormat="1" ht="16.5" customHeight="1" x14ac:dyDescent="0.2">
      <c r="A19" s="73" t="s">
        <v>1360</v>
      </c>
      <c r="B19" s="74"/>
      <c r="C19" s="180">
        <v>96</v>
      </c>
      <c r="D19" s="180">
        <f t="shared" si="0"/>
        <v>96</v>
      </c>
    </row>
    <row r="20" spans="1:4" s="49" customFormat="1" ht="16.5" customHeight="1" x14ac:dyDescent="0.2">
      <c r="A20" s="73" t="s">
        <v>1361</v>
      </c>
      <c r="B20" s="74"/>
      <c r="C20" s="180">
        <v>96</v>
      </c>
      <c r="D20" s="180">
        <f t="shared" si="0"/>
        <v>96</v>
      </c>
    </row>
    <row r="21" spans="1:4" s="49" customFormat="1" ht="16.5" customHeight="1" x14ac:dyDescent="0.2">
      <c r="A21" s="237" t="s">
        <v>1859</v>
      </c>
      <c r="B21" s="238"/>
      <c r="C21" s="238"/>
      <c r="D21" s="180">
        <f>SUM(D13:D20)</f>
        <v>771</v>
      </c>
    </row>
    <row r="22" spans="1:4" s="39" customFormat="1" ht="14.25" customHeight="1" x14ac:dyDescent="0.2">
      <c r="A22" s="237" t="s">
        <v>1860</v>
      </c>
      <c r="B22" s="238"/>
      <c r="C22" s="238"/>
      <c r="D22" s="180">
        <v>889</v>
      </c>
    </row>
    <row r="23" spans="1:4" s="39" customFormat="1" ht="14.25" customHeight="1" x14ac:dyDescent="0.2">
      <c r="A23" s="237" t="s">
        <v>1862</v>
      </c>
      <c r="B23" s="238"/>
      <c r="C23" s="238"/>
      <c r="D23" s="180">
        <v>621</v>
      </c>
    </row>
    <row r="24" spans="1:4" s="39" customFormat="1" ht="16.5" customHeight="1" x14ac:dyDescent="0.2">
      <c r="A24" s="239" t="s">
        <v>1863</v>
      </c>
      <c r="B24" s="240"/>
      <c r="C24" s="240"/>
      <c r="D24" s="180">
        <f>D21-D23</f>
        <v>150</v>
      </c>
    </row>
    <row r="25" spans="1:4" s="39" customFormat="1" ht="14.25" customHeight="1" x14ac:dyDescent="0.2">
      <c r="A25" s="237"/>
      <c r="B25" s="339"/>
      <c r="C25" s="339"/>
    </row>
    <row r="26" spans="1:4" s="39" customFormat="1" ht="58.5" customHeight="1" x14ac:dyDescent="0.2">
      <c r="A26" s="41" t="s">
        <v>1181</v>
      </c>
      <c r="B26" s="253" t="s">
        <v>430</v>
      </c>
      <c r="C26" s="254"/>
      <c r="D26" s="255"/>
    </row>
    <row r="27" spans="1:4" s="119" customFormat="1" ht="14.25" x14ac:dyDescent="0.2">
      <c r="A27" s="337" t="s">
        <v>821</v>
      </c>
      <c r="B27" s="340"/>
      <c r="C27" s="181" t="s">
        <v>878</v>
      </c>
      <c r="D27" s="119" t="s">
        <v>1086</v>
      </c>
    </row>
    <row r="28" spans="1:4" s="49" customFormat="1" ht="15" customHeight="1" x14ac:dyDescent="0.2">
      <c r="A28" s="113" t="s">
        <v>1855</v>
      </c>
      <c r="B28" s="74"/>
      <c r="C28" s="179">
        <v>35</v>
      </c>
      <c r="D28" s="179">
        <f>C28</f>
        <v>35</v>
      </c>
    </row>
    <row r="29" spans="1:4" s="49" customFormat="1" ht="24.75" customHeight="1" x14ac:dyDescent="0.2">
      <c r="A29" s="113" t="s">
        <v>1856</v>
      </c>
      <c r="B29" s="74"/>
      <c r="C29" s="179">
        <v>35</v>
      </c>
      <c r="D29" s="179">
        <f>C29</f>
        <v>35</v>
      </c>
    </row>
    <row r="30" spans="1:4" s="49" customFormat="1" ht="16.5" customHeight="1" x14ac:dyDescent="0.2">
      <c r="A30" s="113" t="s">
        <v>1032</v>
      </c>
      <c r="B30" s="74"/>
      <c r="C30" s="180">
        <v>103</v>
      </c>
      <c r="D30" s="179">
        <f>C30</f>
        <v>103</v>
      </c>
    </row>
    <row r="31" spans="1:4" s="49" customFormat="1" ht="16.5" customHeight="1" x14ac:dyDescent="0.2">
      <c r="A31" s="113" t="s">
        <v>1357</v>
      </c>
      <c r="B31" s="74"/>
      <c r="C31" s="180">
        <v>72</v>
      </c>
      <c r="D31" s="179">
        <f t="shared" ref="D31:D35" si="1">C31</f>
        <v>72</v>
      </c>
    </row>
    <row r="32" spans="1:4" s="49" customFormat="1" ht="16.5" customHeight="1" x14ac:dyDescent="0.2">
      <c r="A32" s="113" t="s">
        <v>1358</v>
      </c>
      <c r="B32" s="74"/>
      <c r="C32" s="180">
        <v>115</v>
      </c>
      <c r="D32" s="179">
        <f t="shared" si="1"/>
        <v>115</v>
      </c>
    </row>
    <row r="33" spans="1:4" s="49" customFormat="1" ht="16.5" customHeight="1" x14ac:dyDescent="0.2">
      <c r="A33" s="73" t="s">
        <v>1359</v>
      </c>
      <c r="B33" s="74"/>
      <c r="C33" s="180">
        <v>115</v>
      </c>
      <c r="D33" s="179">
        <f t="shared" si="1"/>
        <v>115</v>
      </c>
    </row>
    <row r="34" spans="1:4" s="49" customFormat="1" ht="16.5" customHeight="1" x14ac:dyDescent="0.2">
      <c r="A34" s="73" t="s">
        <v>1360</v>
      </c>
      <c r="B34" s="74"/>
      <c r="C34" s="180">
        <v>115</v>
      </c>
      <c r="D34" s="179">
        <f t="shared" si="1"/>
        <v>115</v>
      </c>
    </row>
    <row r="35" spans="1:4" s="49" customFormat="1" ht="16.5" customHeight="1" x14ac:dyDescent="0.2">
      <c r="A35" s="73" t="s">
        <v>1361</v>
      </c>
      <c r="B35" s="74"/>
      <c r="C35" s="180">
        <v>105</v>
      </c>
      <c r="D35" s="179">
        <f t="shared" si="1"/>
        <v>105</v>
      </c>
    </row>
    <row r="36" spans="1:4" s="49" customFormat="1" ht="30.75" customHeight="1" x14ac:dyDescent="0.2">
      <c r="A36" s="237" t="s">
        <v>1861</v>
      </c>
      <c r="B36" s="238"/>
      <c r="C36" s="238"/>
      <c r="D36" s="180">
        <f>SUM(D28:D35)</f>
        <v>695</v>
      </c>
    </row>
    <row r="37" spans="1:4" s="39" customFormat="1" ht="14.25" customHeight="1" x14ac:dyDescent="0.2">
      <c r="A37" s="237" t="s">
        <v>1866</v>
      </c>
      <c r="B37" s="238"/>
      <c r="C37" s="238"/>
      <c r="D37" s="179">
        <v>773</v>
      </c>
    </row>
    <row r="38" spans="1:4" s="39" customFormat="1" ht="30" customHeight="1" x14ac:dyDescent="0.2">
      <c r="A38" s="237" t="s">
        <v>1864</v>
      </c>
      <c r="B38" s="238"/>
      <c r="C38" s="238"/>
      <c r="D38" s="179">
        <v>544</v>
      </c>
    </row>
    <row r="39" spans="1:4" s="39" customFormat="1" ht="27.75" customHeight="1" x14ac:dyDescent="0.2">
      <c r="A39" s="239" t="s">
        <v>1865</v>
      </c>
      <c r="B39" s="240"/>
      <c r="C39" s="240"/>
      <c r="D39" s="179">
        <f>D36-D38</f>
        <v>151</v>
      </c>
    </row>
    <row r="40" spans="1:4" ht="14.25" customHeight="1" x14ac:dyDescent="0.2">
      <c r="A40" s="280"/>
      <c r="B40" s="281"/>
      <c r="C40" s="90"/>
      <c r="D40" s="29"/>
    </row>
    <row r="41" spans="1:4" ht="17.25" customHeight="1" x14ac:dyDescent="0.2">
      <c r="A41" s="128" t="s">
        <v>923</v>
      </c>
      <c r="B41" s="293" t="s">
        <v>470</v>
      </c>
      <c r="C41" s="293"/>
      <c r="D41" s="293"/>
    </row>
    <row r="42" spans="1:4" s="39" customFormat="1" ht="33.75" customHeight="1" x14ac:dyDescent="0.2">
      <c r="A42" s="41" t="s">
        <v>924</v>
      </c>
      <c r="B42" s="235" t="s">
        <v>476</v>
      </c>
      <c r="C42" s="235"/>
      <c r="D42" s="235"/>
    </row>
    <row r="43" spans="1:4" ht="25.5" customHeight="1" x14ac:dyDescent="0.2">
      <c r="A43" s="294" t="s">
        <v>1659</v>
      </c>
      <c r="B43" s="295"/>
      <c r="C43" s="295"/>
      <c r="D43" s="129">
        <v>36</v>
      </c>
    </row>
    <row r="44" spans="1:4" ht="12.75" customHeight="1" x14ac:dyDescent="0.2">
      <c r="A44" s="248"/>
      <c r="B44" s="249"/>
      <c r="C44" s="249"/>
      <c r="D44" s="130"/>
    </row>
    <row r="45" spans="1:4" ht="14.25" customHeight="1" x14ac:dyDescent="0.2">
      <c r="A45" s="228" t="s">
        <v>1696</v>
      </c>
      <c r="B45" s="229"/>
      <c r="C45" s="229"/>
      <c r="D45" s="58">
        <f>D43</f>
        <v>36</v>
      </c>
    </row>
    <row r="46" spans="1:4" ht="14.25" customHeight="1" x14ac:dyDescent="0.2">
      <c r="A46" s="228" t="s">
        <v>1660</v>
      </c>
      <c r="B46" s="229"/>
      <c r="C46" s="229"/>
      <c r="D46" s="58">
        <v>36</v>
      </c>
    </row>
    <row r="47" spans="1:4" ht="14.25" customHeight="1" x14ac:dyDescent="0.2">
      <c r="A47" s="230" t="s">
        <v>1697</v>
      </c>
      <c r="B47" s="231"/>
      <c r="C47" s="231"/>
      <c r="D47" s="65">
        <v>4</v>
      </c>
    </row>
    <row r="48" spans="1:4" ht="14.25" customHeight="1" x14ac:dyDescent="0.2">
      <c r="A48" s="241" t="s">
        <v>1698</v>
      </c>
      <c r="B48" s="242"/>
      <c r="C48" s="242"/>
      <c r="D48" s="59">
        <f>D45-D47</f>
        <v>32</v>
      </c>
    </row>
    <row r="49" spans="1:4" x14ac:dyDescent="0.2">
      <c r="A49" s="75"/>
      <c r="B49" s="76"/>
      <c r="C49" s="76"/>
      <c r="D49" s="77"/>
    </row>
    <row r="50" spans="1:4" s="39" customFormat="1" ht="33.75" customHeight="1" x14ac:dyDescent="0.2">
      <c r="A50" s="41" t="s">
        <v>1661</v>
      </c>
      <c r="B50" s="235" t="s">
        <v>478</v>
      </c>
      <c r="C50" s="235"/>
      <c r="D50" s="235"/>
    </row>
    <row r="51" spans="1:4" ht="25.5" customHeight="1" x14ac:dyDescent="0.2">
      <c r="A51" s="294" t="s">
        <v>1659</v>
      </c>
      <c r="B51" s="295"/>
      <c r="C51" s="295"/>
      <c r="D51" s="129">
        <v>9</v>
      </c>
    </row>
    <row r="52" spans="1:4" ht="12.75" customHeight="1" x14ac:dyDescent="0.2">
      <c r="A52" s="248"/>
      <c r="B52" s="249"/>
      <c r="C52" s="249"/>
      <c r="D52" s="130"/>
    </row>
    <row r="53" spans="1:4" ht="14.25" customHeight="1" x14ac:dyDescent="0.2">
      <c r="A53" s="228" t="s">
        <v>1701</v>
      </c>
      <c r="B53" s="229"/>
      <c r="C53" s="229"/>
      <c r="D53" s="58">
        <f>D51</f>
        <v>9</v>
      </c>
    </row>
    <row r="54" spans="1:4" ht="14.25" customHeight="1" x14ac:dyDescent="0.2">
      <c r="A54" s="228" t="s">
        <v>1662</v>
      </c>
      <c r="B54" s="229"/>
      <c r="C54" s="229"/>
      <c r="D54" s="58">
        <v>9</v>
      </c>
    </row>
    <row r="55" spans="1:4" ht="14.25" customHeight="1" x14ac:dyDescent="0.2">
      <c r="A55" s="230" t="s">
        <v>1699</v>
      </c>
      <c r="B55" s="231"/>
      <c r="C55" s="231"/>
      <c r="D55" s="65">
        <v>0</v>
      </c>
    </row>
    <row r="56" spans="1:4" ht="14.25" customHeight="1" x14ac:dyDescent="0.2">
      <c r="A56" s="241" t="s">
        <v>1700</v>
      </c>
      <c r="B56" s="242"/>
      <c r="C56" s="242"/>
      <c r="D56" s="59">
        <v>9</v>
      </c>
    </row>
    <row r="57" spans="1:4" x14ac:dyDescent="0.2">
      <c r="A57" s="75"/>
      <c r="B57" s="76"/>
      <c r="C57" s="76"/>
      <c r="D57" s="77"/>
    </row>
    <row r="58" spans="1:4" s="39" customFormat="1" ht="33.75" customHeight="1" x14ac:dyDescent="0.2">
      <c r="A58" s="41" t="s">
        <v>1663</v>
      </c>
      <c r="B58" s="235" t="s">
        <v>482</v>
      </c>
      <c r="C58" s="235"/>
      <c r="D58" s="235"/>
    </row>
    <row r="59" spans="1:4" ht="25.5" customHeight="1" x14ac:dyDescent="0.2">
      <c r="A59" s="294" t="s">
        <v>1659</v>
      </c>
      <c r="B59" s="295"/>
      <c r="C59" s="295"/>
      <c r="D59" s="129">
        <v>25</v>
      </c>
    </row>
    <row r="60" spans="1:4" ht="12.75" customHeight="1" x14ac:dyDescent="0.2">
      <c r="A60" s="248"/>
      <c r="B60" s="249"/>
      <c r="C60" s="249"/>
      <c r="D60" s="130"/>
    </row>
    <row r="61" spans="1:4" ht="14.25" customHeight="1" x14ac:dyDescent="0.2">
      <c r="A61" s="228" t="s">
        <v>1702</v>
      </c>
      <c r="B61" s="229"/>
      <c r="C61" s="229"/>
      <c r="D61" s="58">
        <f>D59</f>
        <v>25</v>
      </c>
    </row>
    <row r="62" spans="1:4" ht="14.25" customHeight="1" x14ac:dyDescent="0.2">
      <c r="A62" s="228" t="s">
        <v>1664</v>
      </c>
      <c r="B62" s="229"/>
      <c r="C62" s="229"/>
      <c r="D62" s="58">
        <v>25</v>
      </c>
    </row>
    <row r="63" spans="1:4" ht="14.25" customHeight="1" x14ac:dyDescent="0.2">
      <c r="A63" s="230" t="s">
        <v>1703</v>
      </c>
      <c r="B63" s="231"/>
      <c r="C63" s="231"/>
      <c r="D63" s="65">
        <v>0</v>
      </c>
    </row>
    <row r="64" spans="1:4" ht="14.25" customHeight="1" x14ac:dyDescent="0.2">
      <c r="A64" s="241" t="s">
        <v>1704</v>
      </c>
      <c r="B64" s="242"/>
      <c r="C64" s="242"/>
      <c r="D64" s="59">
        <v>25</v>
      </c>
    </row>
    <row r="65" spans="1:4" x14ac:dyDescent="0.2">
      <c r="A65" s="75"/>
      <c r="B65" s="76"/>
      <c r="C65" s="76"/>
      <c r="D65" s="77"/>
    </row>
    <row r="66" spans="1:4" s="39" customFormat="1" ht="33.75" customHeight="1" x14ac:dyDescent="0.2">
      <c r="A66" s="41" t="s">
        <v>1665</v>
      </c>
      <c r="B66" s="235" t="s">
        <v>484</v>
      </c>
      <c r="C66" s="235"/>
      <c r="D66" s="235"/>
    </row>
    <row r="67" spans="1:4" ht="25.5" customHeight="1" x14ac:dyDescent="0.2">
      <c r="A67" s="294" t="s">
        <v>1659</v>
      </c>
      <c r="B67" s="295"/>
      <c r="C67" s="295"/>
      <c r="D67" s="129">
        <v>47</v>
      </c>
    </row>
    <row r="68" spans="1:4" ht="12.75" customHeight="1" x14ac:dyDescent="0.2">
      <c r="A68" s="248"/>
      <c r="B68" s="249"/>
      <c r="C68" s="249"/>
      <c r="D68" s="130"/>
    </row>
    <row r="69" spans="1:4" ht="14.25" customHeight="1" x14ac:dyDescent="0.2">
      <c r="A69" s="228" t="s">
        <v>1705</v>
      </c>
      <c r="B69" s="229"/>
      <c r="C69" s="229"/>
      <c r="D69" s="58">
        <f>D67</f>
        <v>47</v>
      </c>
    </row>
    <row r="70" spans="1:4" ht="14.25" customHeight="1" x14ac:dyDescent="0.2">
      <c r="A70" s="228" t="s">
        <v>1666</v>
      </c>
      <c r="B70" s="229"/>
      <c r="C70" s="229"/>
      <c r="D70" s="58">
        <v>47</v>
      </c>
    </row>
    <row r="71" spans="1:4" ht="14.25" customHeight="1" x14ac:dyDescent="0.2">
      <c r="A71" s="230" t="s">
        <v>1706</v>
      </c>
      <c r="B71" s="231"/>
      <c r="C71" s="231"/>
      <c r="D71" s="65">
        <v>0</v>
      </c>
    </row>
    <row r="72" spans="1:4" ht="14.25" customHeight="1" x14ac:dyDescent="0.2">
      <c r="A72" s="241" t="s">
        <v>1707</v>
      </c>
      <c r="B72" s="242"/>
      <c r="C72" s="242"/>
      <c r="D72" s="59">
        <v>47</v>
      </c>
    </row>
    <row r="73" spans="1:4" x14ac:dyDescent="0.2">
      <c r="A73" s="75"/>
      <c r="B73" s="76"/>
      <c r="C73" s="76"/>
      <c r="D73" s="77"/>
    </row>
    <row r="74" spans="1:4" s="39" customFormat="1" ht="21.75" customHeight="1" x14ac:dyDescent="0.2">
      <c r="A74" s="41" t="s">
        <v>1708</v>
      </c>
      <c r="B74" s="235" t="s">
        <v>490</v>
      </c>
      <c r="C74" s="235"/>
      <c r="D74" s="235"/>
    </row>
    <row r="75" spans="1:4" ht="25.5" customHeight="1" x14ac:dyDescent="0.2">
      <c r="A75" s="294" t="s">
        <v>1659</v>
      </c>
      <c r="B75" s="295"/>
      <c r="C75" s="295"/>
      <c r="D75" s="129">
        <v>3</v>
      </c>
    </row>
    <row r="76" spans="1:4" ht="12.75" customHeight="1" x14ac:dyDescent="0.2">
      <c r="A76" s="248"/>
      <c r="B76" s="249"/>
      <c r="C76" s="249"/>
      <c r="D76" s="130"/>
    </row>
    <row r="77" spans="1:4" ht="14.25" customHeight="1" x14ac:dyDescent="0.2">
      <c r="A77" s="228" t="s">
        <v>1709</v>
      </c>
      <c r="B77" s="229"/>
      <c r="C77" s="229"/>
      <c r="D77" s="58">
        <f>D75</f>
        <v>3</v>
      </c>
    </row>
    <row r="78" spans="1:4" ht="14.25" customHeight="1" x14ac:dyDescent="0.2">
      <c r="A78" s="228" t="s">
        <v>1710</v>
      </c>
      <c r="B78" s="229"/>
      <c r="C78" s="229"/>
      <c r="D78" s="58">
        <v>3</v>
      </c>
    </row>
    <row r="79" spans="1:4" ht="14.25" customHeight="1" x14ac:dyDescent="0.2">
      <c r="A79" s="230" t="s">
        <v>1711</v>
      </c>
      <c r="B79" s="231"/>
      <c r="C79" s="231"/>
      <c r="D79" s="65">
        <v>0</v>
      </c>
    </row>
    <row r="80" spans="1:4" ht="14.25" customHeight="1" x14ac:dyDescent="0.2">
      <c r="A80" s="241" t="s">
        <v>1712</v>
      </c>
      <c r="B80" s="242"/>
      <c r="C80" s="242"/>
      <c r="D80" s="59">
        <v>3</v>
      </c>
    </row>
    <row r="81" spans="1:4" x14ac:dyDescent="0.2">
      <c r="A81" s="75"/>
      <c r="B81" s="76"/>
      <c r="C81" s="76"/>
      <c r="D81" s="77"/>
    </row>
    <row r="82" spans="1:4" s="39" customFormat="1" ht="33.75" customHeight="1" x14ac:dyDescent="0.2">
      <c r="A82" s="41" t="s">
        <v>1667</v>
      </c>
      <c r="B82" s="235" t="s">
        <v>508</v>
      </c>
      <c r="C82" s="235"/>
      <c r="D82" s="235"/>
    </row>
    <row r="83" spans="1:4" ht="25.5" customHeight="1" x14ac:dyDescent="0.2">
      <c r="A83" s="294" t="s">
        <v>1659</v>
      </c>
      <c r="B83" s="295"/>
      <c r="C83" s="295"/>
      <c r="D83" s="129">
        <v>58</v>
      </c>
    </row>
    <row r="84" spans="1:4" ht="12.75" customHeight="1" x14ac:dyDescent="0.2">
      <c r="A84" s="248"/>
      <c r="B84" s="249"/>
      <c r="C84" s="249"/>
      <c r="D84" s="130"/>
    </row>
    <row r="85" spans="1:4" ht="14.25" customHeight="1" x14ac:dyDescent="0.2">
      <c r="A85" s="228" t="s">
        <v>1713</v>
      </c>
      <c r="B85" s="229"/>
      <c r="C85" s="229"/>
      <c r="D85" s="58">
        <f>D83</f>
        <v>58</v>
      </c>
    </row>
    <row r="86" spans="1:4" ht="14.25" customHeight="1" x14ac:dyDescent="0.2">
      <c r="A86" s="228" t="s">
        <v>1668</v>
      </c>
      <c r="B86" s="229"/>
      <c r="C86" s="229"/>
      <c r="D86" s="58">
        <v>58</v>
      </c>
    </row>
    <row r="87" spans="1:4" ht="14.25" customHeight="1" x14ac:dyDescent="0.2">
      <c r="A87" s="230" t="s">
        <v>1714</v>
      </c>
      <c r="B87" s="231"/>
      <c r="C87" s="231"/>
      <c r="D87" s="65">
        <v>4</v>
      </c>
    </row>
    <row r="88" spans="1:4" ht="14.25" customHeight="1" x14ac:dyDescent="0.2">
      <c r="A88" s="241" t="s">
        <v>1715</v>
      </c>
      <c r="B88" s="242"/>
      <c r="C88" s="242"/>
      <c r="D88" s="59">
        <f>D85-D87</f>
        <v>54</v>
      </c>
    </row>
    <row r="89" spans="1:4" x14ac:dyDescent="0.2">
      <c r="A89" s="75"/>
      <c r="B89" s="76"/>
      <c r="C89" s="76"/>
      <c r="D89" s="77"/>
    </row>
    <row r="90" spans="1:4" s="39" customFormat="1" ht="33.75" customHeight="1" x14ac:dyDescent="0.2">
      <c r="A90" s="41" t="s">
        <v>1669</v>
      </c>
      <c r="B90" s="235" t="s">
        <v>510</v>
      </c>
      <c r="C90" s="235"/>
      <c r="D90" s="235"/>
    </row>
    <row r="91" spans="1:4" ht="25.5" customHeight="1" x14ac:dyDescent="0.2">
      <c r="A91" s="294" t="s">
        <v>1659</v>
      </c>
      <c r="B91" s="295"/>
      <c r="C91" s="295"/>
      <c r="D91" s="129">
        <v>304</v>
      </c>
    </row>
    <row r="92" spans="1:4" ht="12.75" customHeight="1" x14ac:dyDescent="0.2">
      <c r="A92" s="248"/>
      <c r="B92" s="249"/>
      <c r="C92" s="249"/>
      <c r="D92" s="130"/>
    </row>
    <row r="93" spans="1:4" ht="14.25" customHeight="1" x14ac:dyDescent="0.2">
      <c r="A93" s="228" t="s">
        <v>1716</v>
      </c>
      <c r="B93" s="229"/>
      <c r="C93" s="229"/>
      <c r="D93" s="58">
        <f>D91</f>
        <v>304</v>
      </c>
    </row>
    <row r="94" spans="1:4" ht="14.25" customHeight="1" x14ac:dyDescent="0.2">
      <c r="A94" s="228" t="s">
        <v>1670</v>
      </c>
      <c r="B94" s="229"/>
      <c r="C94" s="229"/>
      <c r="D94" s="58">
        <v>304</v>
      </c>
    </row>
    <row r="95" spans="1:4" ht="14.25" customHeight="1" x14ac:dyDescent="0.2">
      <c r="A95" s="230" t="s">
        <v>1717</v>
      </c>
      <c r="B95" s="231"/>
      <c r="C95" s="231"/>
      <c r="D95" s="65">
        <v>1</v>
      </c>
    </row>
    <row r="96" spans="1:4" ht="14.25" customHeight="1" x14ac:dyDescent="0.2">
      <c r="A96" s="241" t="s">
        <v>1718</v>
      </c>
      <c r="B96" s="242"/>
      <c r="C96" s="242"/>
      <c r="D96" s="59">
        <f>D93-D95</f>
        <v>303</v>
      </c>
    </row>
    <row r="97" spans="1:4" x14ac:dyDescent="0.2">
      <c r="A97" s="75"/>
      <c r="B97" s="76"/>
      <c r="C97" s="76"/>
      <c r="D97" s="77"/>
    </row>
    <row r="98" spans="1:4" s="39" customFormat="1" ht="33.75" customHeight="1" x14ac:dyDescent="0.2">
      <c r="A98" s="41" t="s">
        <v>1671</v>
      </c>
      <c r="B98" s="235" t="s">
        <v>512</v>
      </c>
      <c r="C98" s="235"/>
      <c r="D98" s="235"/>
    </row>
    <row r="99" spans="1:4" ht="25.5" customHeight="1" x14ac:dyDescent="0.2">
      <c r="A99" s="294" t="s">
        <v>1659</v>
      </c>
      <c r="B99" s="295"/>
      <c r="C99" s="295"/>
      <c r="D99" s="129">
        <v>2</v>
      </c>
    </row>
    <row r="100" spans="1:4" ht="12.75" customHeight="1" x14ac:dyDescent="0.2">
      <c r="A100" s="248"/>
      <c r="B100" s="249"/>
      <c r="C100" s="249"/>
      <c r="D100" s="130"/>
    </row>
    <row r="101" spans="1:4" ht="14.25" customHeight="1" x14ac:dyDescent="0.2">
      <c r="A101" s="228" t="s">
        <v>1719</v>
      </c>
      <c r="B101" s="229"/>
      <c r="C101" s="229"/>
      <c r="D101" s="58">
        <f>D99</f>
        <v>2</v>
      </c>
    </row>
    <row r="102" spans="1:4" ht="14.25" customHeight="1" x14ac:dyDescent="0.2">
      <c r="A102" s="228" t="s">
        <v>1672</v>
      </c>
      <c r="B102" s="229"/>
      <c r="C102" s="229"/>
      <c r="D102" s="58">
        <v>2</v>
      </c>
    </row>
    <row r="103" spans="1:4" ht="14.25" customHeight="1" x14ac:dyDescent="0.2">
      <c r="A103" s="230" t="s">
        <v>1720</v>
      </c>
      <c r="B103" s="231"/>
      <c r="C103" s="231"/>
      <c r="D103" s="65">
        <v>0</v>
      </c>
    </row>
    <row r="104" spans="1:4" ht="14.25" customHeight="1" x14ac:dyDescent="0.2">
      <c r="A104" s="241" t="s">
        <v>1721</v>
      </c>
      <c r="B104" s="242"/>
      <c r="C104" s="242"/>
      <c r="D104" s="59">
        <v>2</v>
      </c>
    </row>
    <row r="105" spans="1:4" x14ac:dyDescent="0.2">
      <c r="A105" s="75"/>
      <c r="B105" s="76"/>
      <c r="C105" s="76"/>
      <c r="D105" s="77"/>
    </row>
    <row r="106" spans="1:4" s="39" customFormat="1" ht="33.75" customHeight="1" x14ac:dyDescent="0.2">
      <c r="A106" s="41" t="s">
        <v>1673</v>
      </c>
      <c r="B106" s="235" t="s">
        <v>514</v>
      </c>
      <c r="C106" s="235"/>
      <c r="D106" s="235"/>
    </row>
    <row r="107" spans="1:4" ht="25.5" customHeight="1" x14ac:dyDescent="0.2">
      <c r="A107" s="294" t="s">
        <v>1659</v>
      </c>
      <c r="B107" s="295"/>
      <c r="C107" s="295"/>
      <c r="D107" s="129">
        <v>6</v>
      </c>
    </row>
    <row r="108" spans="1:4" ht="12.75" customHeight="1" x14ac:dyDescent="0.2">
      <c r="A108" s="248"/>
      <c r="B108" s="249"/>
      <c r="C108" s="249"/>
      <c r="D108" s="130"/>
    </row>
    <row r="109" spans="1:4" ht="14.25" customHeight="1" x14ac:dyDescent="0.2">
      <c r="A109" s="228" t="s">
        <v>1724</v>
      </c>
      <c r="B109" s="229"/>
      <c r="C109" s="229"/>
      <c r="D109" s="58">
        <f>D107</f>
        <v>6</v>
      </c>
    </row>
    <row r="110" spans="1:4" ht="14.25" customHeight="1" x14ac:dyDescent="0.2">
      <c r="A110" s="228" t="s">
        <v>1674</v>
      </c>
      <c r="B110" s="229"/>
      <c r="C110" s="229"/>
      <c r="D110" s="58">
        <v>6</v>
      </c>
    </row>
    <row r="111" spans="1:4" ht="14.25" customHeight="1" x14ac:dyDescent="0.2">
      <c r="A111" s="230" t="s">
        <v>1722</v>
      </c>
      <c r="B111" s="231"/>
      <c r="C111" s="231"/>
      <c r="D111" s="65">
        <v>0</v>
      </c>
    </row>
    <row r="112" spans="1:4" ht="14.25" customHeight="1" x14ac:dyDescent="0.2">
      <c r="A112" s="241" t="s">
        <v>1723</v>
      </c>
      <c r="B112" s="242"/>
      <c r="C112" s="242"/>
      <c r="D112" s="59">
        <v>6</v>
      </c>
    </row>
    <row r="113" spans="1:4" x14ac:dyDescent="0.2">
      <c r="A113" s="75"/>
      <c r="B113" s="76"/>
      <c r="C113" s="76"/>
      <c r="D113" s="77"/>
    </row>
    <row r="114" spans="1:4" s="39" customFormat="1" ht="33.75" customHeight="1" x14ac:dyDescent="0.2">
      <c r="A114" s="41" t="s">
        <v>1675</v>
      </c>
      <c r="B114" s="235" t="s">
        <v>518</v>
      </c>
      <c r="C114" s="235"/>
      <c r="D114" s="235"/>
    </row>
    <row r="115" spans="1:4" ht="25.5" customHeight="1" x14ac:dyDescent="0.2">
      <c r="A115" s="294" t="s">
        <v>1659</v>
      </c>
      <c r="B115" s="295"/>
      <c r="C115" s="295"/>
      <c r="D115" s="129">
        <v>2</v>
      </c>
    </row>
    <row r="116" spans="1:4" ht="12.75" customHeight="1" x14ac:dyDescent="0.2">
      <c r="A116" s="248"/>
      <c r="B116" s="249"/>
      <c r="C116" s="249"/>
      <c r="D116" s="130"/>
    </row>
    <row r="117" spans="1:4" ht="14.25" customHeight="1" x14ac:dyDescent="0.2">
      <c r="A117" s="228" t="s">
        <v>1725</v>
      </c>
      <c r="B117" s="229"/>
      <c r="C117" s="229"/>
      <c r="D117" s="58">
        <f>D115</f>
        <v>2</v>
      </c>
    </row>
    <row r="118" spans="1:4" ht="14.25" customHeight="1" x14ac:dyDescent="0.2">
      <c r="A118" s="228" t="s">
        <v>1676</v>
      </c>
      <c r="B118" s="229"/>
      <c r="C118" s="229"/>
      <c r="D118" s="58">
        <v>2</v>
      </c>
    </row>
    <row r="119" spans="1:4" ht="14.25" customHeight="1" x14ac:dyDescent="0.2">
      <c r="A119" s="230" t="s">
        <v>1726</v>
      </c>
      <c r="B119" s="231"/>
      <c r="C119" s="231"/>
      <c r="D119" s="65">
        <v>0</v>
      </c>
    </row>
    <row r="120" spans="1:4" ht="14.25" customHeight="1" x14ac:dyDescent="0.2">
      <c r="A120" s="241" t="s">
        <v>1727</v>
      </c>
      <c r="B120" s="242"/>
      <c r="C120" s="242"/>
      <c r="D120" s="59">
        <v>2</v>
      </c>
    </row>
    <row r="121" spans="1:4" x14ac:dyDescent="0.2">
      <c r="A121" s="75"/>
      <c r="B121" s="76"/>
      <c r="C121" s="76"/>
      <c r="D121" s="77"/>
    </row>
    <row r="122" spans="1:4" s="39" customFormat="1" ht="33.75" customHeight="1" x14ac:dyDescent="0.2">
      <c r="A122" s="41" t="s">
        <v>1677</v>
      </c>
      <c r="B122" s="235" t="s">
        <v>520</v>
      </c>
      <c r="C122" s="235"/>
      <c r="D122" s="235"/>
    </row>
    <row r="123" spans="1:4" ht="25.5" customHeight="1" x14ac:dyDescent="0.2">
      <c r="A123" s="294" t="s">
        <v>1659</v>
      </c>
      <c r="B123" s="295"/>
      <c r="C123" s="295"/>
      <c r="D123" s="129">
        <v>3</v>
      </c>
    </row>
    <row r="124" spans="1:4" ht="12.75" customHeight="1" x14ac:dyDescent="0.2">
      <c r="A124" s="248"/>
      <c r="B124" s="249"/>
      <c r="C124" s="249"/>
      <c r="D124" s="130"/>
    </row>
    <row r="125" spans="1:4" ht="14.25" customHeight="1" x14ac:dyDescent="0.2">
      <c r="A125" s="228" t="s">
        <v>1728</v>
      </c>
      <c r="B125" s="229"/>
      <c r="C125" s="229"/>
      <c r="D125" s="58">
        <f>D123</f>
        <v>3</v>
      </c>
    </row>
    <row r="126" spans="1:4" ht="14.25" customHeight="1" x14ac:dyDescent="0.2">
      <c r="A126" s="228" t="s">
        <v>1678</v>
      </c>
      <c r="B126" s="229"/>
      <c r="C126" s="229"/>
      <c r="D126" s="58">
        <v>3</v>
      </c>
    </row>
    <row r="127" spans="1:4" ht="14.25" customHeight="1" x14ac:dyDescent="0.2">
      <c r="A127" s="230" t="s">
        <v>1729</v>
      </c>
      <c r="B127" s="231"/>
      <c r="C127" s="231"/>
      <c r="D127" s="65">
        <v>0</v>
      </c>
    </row>
    <row r="128" spans="1:4" ht="14.25" customHeight="1" x14ac:dyDescent="0.2">
      <c r="A128" s="241" t="s">
        <v>1730</v>
      </c>
      <c r="B128" s="242"/>
      <c r="C128" s="242"/>
      <c r="D128" s="59">
        <v>3</v>
      </c>
    </row>
    <row r="129" spans="1:4" x14ac:dyDescent="0.2">
      <c r="A129" s="75"/>
      <c r="B129" s="76"/>
      <c r="C129" s="76"/>
      <c r="D129" s="77"/>
    </row>
    <row r="130" spans="1:4" s="39" customFormat="1" ht="21" customHeight="1" x14ac:dyDescent="0.2">
      <c r="A130" s="41" t="s">
        <v>1679</v>
      </c>
      <c r="B130" s="235" t="s">
        <v>524</v>
      </c>
      <c r="C130" s="235"/>
      <c r="D130" s="235"/>
    </row>
    <row r="131" spans="1:4" ht="25.5" customHeight="1" x14ac:dyDescent="0.2">
      <c r="A131" s="294" t="s">
        <v>1680</v>
      </c>
      <c r="B131" s="295"/>
      <c r="C131" s="295"/>
      <c r="D131" s="129">
        <v>68</v>
      </c>
    </row>
    <row r="132" spans="1:4" ht="12.75" customHeight="1" x14ac:dyDescent="0.2">
      <c r="A132" s="248"/>
      <c r="B132" s="249"/>
      <c r="C132" s="249"/>
      <c r="D132" s="130"/>
    </row>
    <row r="133" spans="1:4" ht="14.25" customHeight="1" x14ac:dyDescent="0.2">
      <c r="A133" s="228" t="s">
        <v>1731</v>
      </c>
      <c r="B133" s="229"/>
      <c r="C133" s="229"/>
      <c r="D133" s="58">
        <f>D131</f>
        <v>68</v>
      </c>
    </row>
    <row r="134" spans="1:4" ht="14.25" customHeight="1" x14ac:dyDescent="0.2">
      <c r="A134" s="228" t="s">
        <v>1681</v>
      </c>
      <c r="B134" s="229"/>
      <c r="C134" s="229"/>
      <c r="D134" s="58">
        <v>68</v>
      </c>
    </row>
    <row r="135" spans="1:4" ht="14.25" customHeight="1" x14ac:dyDescent="0.2">
      <c r="A135" s="230" t="s">
        <v>1732</v>
      </c>
      <c r="B135" s="231"/>
      <c r="C135" s="231"/>
      <c r="D135" s="65">
        <v>0</v>
      </c>
    </row>
    <row r="136" spans="1:4" ht="14.25" customHeight="1" x14ac:dyDescent="0.2">
      <c r="A136" s="241" t="s">
        <v>1733</v>
      </c>
      <c r="B136" s="242"/>
      <c r="C136" s="242"/>
      <c r="D136" s="59">
        <f>D133-D135</f>
        <v>68</v>
      </c>
    </row>
    <row r="137" spans="1:4" x14ac:dyDescent="0.2">
      <c r="A137" s="75"/>
      <c r="B137" s="76"/>
      <c r="C137" s="76"/>
      <c r="D137" s="77"/>
    </row>
    <row r="138" spans="1:4" s="39" customFormat="1" ht="20.25" customHeight="1" x14ac:dyDescent="0.2">
      <c r="A138" s="41" t="s">
        <v>1682</v>
      </c>
      <c r="B138" s="235" t="s">
        <v>526</v>
      </c>
      <c r="C138" s="235"/>
      <c r="D138" s="235"/>
    </row>
    <row r="139" spans="1:4" ht="25.5" customHeight="1" x14ac:dyDescent="0.2">
      <c r="A139" s="294" t="s">
        <v>1683</v>
      </c>
      <c r="B139" s="295"/>
      <c r="C139" s="295"/>
      <c r="D139" s="129">
        <v>563</v>
      </c>
    </row>
    <row r="140" spans="1:4" ht="12.75" customHeight="1" x14ac:dyDescent="0.2">
      <c r="A140" s="248"/>
      <c r="B140" s="249"/>
      <c r="C140" s="249"/>
      <c r="D140" s="130"/>
    </row>
    <row r="141" spans="1:4" ht="14.25" customHeight="1" x14ac:dyDescent="0.2">
      <c r="A141" s="228" t="s">
        <v>1734</v>
      </c>
      <c r="B141" s="229"/>
      <c r="C141" s="229"/>
      <c r="D141" s="58">
        <f>D139</f>
        <v>563</v>
      </c>
    </row>
    <row r="142" spans="1:4" ht="14.25" customHeight="1" x14ac:dyDescent="0.2">
      <c r="A142" s="228" t="s">
        <v>1684</v>
      </c>
      <c r="B142" s="229"/>
      <c r="C142" s="229"/>
      <c r="D142" s="58">
        <v>563</v>
      </c>
    </row>
    <row r="143" spans="1:4" ht="14.25" customHeight="1" x14ac:dyDescent="0.2">
      <c r="A143" s="230" t="s">
        <v>1735</v>
      </c>
      <c r="B143" s="231"/>
      <c r="C143" s="231"/>
      <c r="D143" s="65">
        <v>0</v>
      </c>
    </row>
    <row r="144" spans="1:4" ht="14.25" customHeight="1" x14ac:dyDescent="0.2">
      <c r="A144" s="241" t="s">
        <v>1736</v>
      </c>
      <c r="B144" s="242"/>
      <c r="C144" s="242"/>
      <c r="D144" s="59">
        <v>563</v>
      </c>
    </row>
    <row r="145" spans="1:4" x14ac:dyDescent="0.2">
      <c r="A145" s="75"/>
      <c r="B145" s="76"/>
      <c r="C145" s="76"/>
      <c r="D145" s="77"/>
    </row>
    <row r="146" spans="1:4" s="39" customFormat="1" ht="21" customHeight="1" x14ac:dyDescent="0.2">
      <c r="A146" s="41" t="s">
        <v>1685</v>
      </c>
      <c r="B146" s="235" t="s">
        <v>528</v>
      </c>
      <c r="C146" s="235"/>
      <c r="D146" s="235"/>
    </row>
    <row r="147" spans="1:4" ht="25.5" customHeight="1" x14ac:dyDescent="0.2">
      <c r="A147" s="294" t="s">
        <v>1683</v>
      </c>
      <c r="B147" s="295"/>
      <c r="C147" s="295"/>
      <c r="D147" s="129">
        <v>2</v>
      </c>
    </row>
    <row r="148" spans="1:4" ht="12.75" customHeight="1" x14ac:dyDescent="0.2">
      <c r="A148" s="248"/>
      <c r="B148" s="249"/>
      <c r="C148" s="249"/>
      <c r="D148" s="130"/>
    </row>
    <row r="149" spans="1:4" ht="14.25" customHeight="1" x14ac:dyDescent="0.2">
      <c r="A149" s="228" t="s">
        <v>1734</v>
      </c>
      <c r="B149" s="229"/>
      <c r="C149" s="229"/>
      <c r="D149" s="58">
        <f>D147</f>
        <v>2</v>
      </c>
    </row>
    <row r="150" spans="1:4" ht="14.25" customHeight="1" x14ac:dyDescent="0.2">
      <c r="A150" s="228" t="s">
        <v>1684</v>
      </c>
      <c r="B150" s="229"/>
      <c r="C150" s="229"/>
      <c r="D150" s="58">
        <v>2</v>
      </c>
    </row>
    <row r="151" spans="1:4" ht="14.25" customHeight="1" x14ac:dyDescent="0.2">
      <c r="A151" s="230" t="s">
        <v>1735</v>
      </c>
      <c r="B151" s="231"/>
      <c r="C151" s="231"/>
      <c r="D151" s="65">
        <v>0</v>
      </c>
    </row>
    <row r="152" spans="1:4" ht="14.25" customHeight="1" x14ac:dyDescent="0.2">
      <c r="A152" s="241" t="s">
        <v>1736</v>
      </c>
      <c r="B152" s="242"/>
      <c r="C152" s="242"/>
      <c r="D152" s="59">
        <v>2</v>
      </c>
    </row>
    <row r="153" spans="1:4" x14ac:dyDescent="0.2">
      <c r="A153" s="75"/>
      <c r="B153" s="76"/>
      <c r="C153" s="76"/>
      <c r="D153" s="77"/>
    </row>
    <row r="154" spans="1:4" s="39" customFormat="1" ht="19.5" customHeight="1" x14ac:dyDescent="0.2">
      <c r="A154" s="41" t="s">
        <v>1686</v>
      </c>
      <c r="B154" s="235" t="s">
        <v>1264</v>
      </c>
      <c r="C154" s="235"/>
      <c r="D154" s="235"/>
    </row>
    <row r="155" spans="1:4" ht="25.5" customHeight="1" x14ac:dyDescent="0.2">
      <c r="A155" s="294" t="s">
        <v>1687</v>
      </c>
      <c r="B155" s="295"/>
      <c r="C155" s="295"/>
      <c r="D155" s="129">
        <v>92</v>
      </c>
    </row>
    <row r="156" spans="1:4" ht="12.75" customHeight="1" x14ac:dyDescent="0.2">
      <c r="A156" s="248"/>
      <c r="B156" s="249"/>
      <c r="C156" s="249"/>
      <c r="D156" s="130"/>
    </row>
    <row r="157" spans="1:4" ht="14.25" customHeight="1" x14ac:dyDescent="0.2">
      <c r="A157" s="228" t="s">
        <v>1737</v>
      </c>
      <c r="B157" s="229"/>
      <c r="C157" s="229"/>
      <c r="D157" s="58">
        <f>D155</f>
        <v>92</v>
      </c>
    </row>
    <row r="158" spans="1:4" ht="14.25" customHeight="1" x14ac:dyDescent="0.2">
      <c r="A158" s="228" t="s">
        <v>1688</v>
      </c>
      <c r="B158" s="229"/>
      <c r="C158" s="229"/>
      <c r="D158" s="58">
        <v>92</v>
      </c>
    </row>
    <row r="159" spans="1:4" ht="14.25" customHeight="1" x14ac:dyDescent="0.2">
      <c r="A159" s="230" t="s">
        <v>1738</v>
      </c>
      <c r="B159" s="231"/>
      <c r="C159" s="231"/>
      <c r="D159" s="65">
        <v>0</v>
      </c>
    </row>
    <row r="160" spans="1:4" ht="14.25" customHeight="1" x14ac:dyDescent="0.2">
      <c r="A160" s="241" t="s">
        <v>1739</v>
      </c>
      <c r="B160" s="242"/>
      <c r="C160" s="242"/>
      <c r="D160" s="59">
        <v>92</v>
      </c>
    </row>
    <row r="161" spans="1:4" x14ac:dyDescent="0.2">
      <c r="A161" s="75"/>
      <c r="B161" s="76"/>
      <c r="C161" s="76"/>
      <c r="D161" s="77"/>
    </row>
    <row r="162" spans="1:4" s="39" customFormat="1" ht="18.75" customHeight="1" x14ac:dyDescent="0.2">
      <c r="A162" s="41" t="s">
        <v>1689</v>
      </c>
      <c r="B162" s="235" t="s">
        <v>1268</v>
      </c>
      <c r="C162" s="235"/>
      <c r="D162" s="235"/>
    </row>
    <row r="163" spans="1:4" ht="25.5" customHeight="1" x14ac:dyDescent="0.2">
      <c r="A163" s="294" t="s">
        <v>1690</v>
      </c>
      <c r="B163" s="295"/>
      <c r="C163" s="295"/>
      <c r="D163" s="129">
        <v>2</v>
      </c>
    </row>
    <row r="164" spans="1:4" ht="12.75" customHeight="1" x14ac:dyDescent="0.2">
      <c r="A164" s="248"/>
      <c r="B164" s="249"/>
      <c r="C164" s="249"/>
      <c r="D164" s="130"/>
    </row>
    <row r="165" spans="1:4" ht="14.25" customHeight="1" x14ac:dyDescent="0.2">
      <c r="A165" s="228" t="s">
        <v>1740</v>
      </c>
      <c r="B165" s="229"/>
      <c r="C165" s="229"/>
      <c r="D165" s="58">
        <f>D163</f>
        <v>2</v>
      </c>
    </row>
    <row r="166" spans="1:4" ht="14.25" customHeight="1" x14ac:dyDescent="0.2">
      <c r="A166" s="228" t="s">
        <v>1691</v>
      </c>
      <c r="B166" s="229"/>
      <c r="C166" s="229"/>
      <c r="D166" s="58">
        <v>2</v>
      </c>
    </row>
    <row r="167" spans="1:4" ht="14.25" customHeight="1" x14ac:dyDescent="0.2">
      <c r="A167" s="230" t="s">
        <v>1741</v>
      </c>
      <c r="B167" s="231"/>
      <c r="C167" s="231"/>
      <c r="D167" s="65">
        <v>0</v>
      </c>
    </row>
    <row r="168" spans="1:4" ht="14.25" customHeight="1" x14ac:dyDescent="0.2">
      <c r="A168" s="241" t="s">
        <v>1742</v>
      </c>
      <c r="B168" s="242"/>
      <c r="C168" s="242"/>
      <c r="D168" s="59">
        <v>2</v>
      </c>
    </row>
    <row r="169" spans="1:4" x14ac:dyDescent="0.2">
      <c r="A169" s="75"/>
      <c r="B169" s="76"/>
      <c r="C169" s="76"/>
      <c r="D169" s="77"/>
    </row>
    <row r="170" spans="1:4" s="39" customFormat="1" ht="20.25" customHeight="1" x14ac:dyDescent="0.2">
      <c r="A170" s="41" t="s">
        <v>1692</v>
      </c>
      <c r="B170" s="235" t="s">
        <v>1693</v>
      </c>
      <c r="C170" s="235"/>
      <c r="D170" s="235"/>
    </row>
    <row r="171" spans="1:4" ht="25.5" customHeight="1" x14ac:dyDescent="0.2">
      <c r="A171" s="294" t="s">
        <v>1694</v>
      </c>
      <c r="B171" s="295"/>
      <c r="C171" s="295"/>
      <c r="D171" s="129">
        <v>13</v>
      </c>
    </row>
    <row r="172" spans="1:4" ht="12.75" customHeight="1" x14ac:dyDescent="0.2">
      <c r="A172" s="248"/>
      <c r="B172" s="249"/>
      <c r="C172" s="249"/>
      <c r="D172" s="130"/>
    </row>
    <row r="173" spans="1:4" ht="14.25" customHeight="1" x14ac:dyDescent="0.2">
      <c r="A173" s="228" t="s">
        <v>1743</v>
      </c>
      <c r="B173" s="229"/>
      <c r="C173" s="229"/>
      <c r="D173" s="58">
        <f>D171</f>
        <v>13</v>
      </c>
    </row>
    <row r="174" spans="1:4" ht="14.25" customHeight="1" x14ac:dyDescent="0.2">
      <c r="A174" s="228" t="s">
        <v>1695</v>
      </c>
      <c r="B174" s="229"/>
      <c r="C174" s="229"/>
      <c r="D174" s="58">
        <v>13</v>
      </c>
    </row>
    <row r="175" spans="1:4" ht="14.25" customHeight="1" x14ac:dyDescent="0.2">
      <c r="A175" s="230" t="s">
        <v>1744</v>
      </c>
      <c r="B175" s="231"/>
      <c r="C175" s="231"/>
      <c r="D175" s="65">
        <v>0</v>
      </c>
    </row>
    <row r="176" spans="1:4" ht="14.25" customHeight="1" x14ac:dyDescent="0.2">
      <c r="A176" s="241" t="s">
        <v>1745</v>
      </c>
      <c r="B176" s="242"/>
      <c r="C176" s="242"/>
      <c r="D176" s="59">
        <v>13</v>
      </c>
    </row>
    <row r="177" spans="1:4" x14ac:dyDescent="0.2">
      <c r="A177" s="75"/>
      <c r="B177" s="76"/>
      <c r="C177" s="76"/>
      <c r="D177" s="77"/>
    </row>
    <row r="178" spans="1:4" ht="17.25" customHeight="1" x14ac:dyDescent="0.2">
      <c r="A178" s="128" t="s">
        <v>1126</v>
      </c>
      <c r="B178" s="293" t="s">
        <v>530</v>
      </c>
      <c r="C178" s="293"/>
      <c r="D178" s="293"/>
    </row>
    <row r="179" spans="1:4" s="39" customFormat="1" ht="38.25" customHeight="1" x14ac:dyDescent="0.2">
      <c r="A179" s="41" t="s">
        <v>1128</v>
      </c>
      <c r="B179" s="235" t="s">
        <v>536</v>
      </c>
      <c r="C179" s="235"/>
      <c r="D179" s="235"/>
    </row>
    <row r="180" spans="1:4" ht="12.75" customHeight="1" x14ac:dyDescent="0.2">
      <c r="A180" s="294" t="s">
        <v>1332</v>
      </c>
      <c r="B180" s="295"/>
      <c r="C180" s="295"/>
      <c r="D180" s="129">
        <f>155+155+195+195</f>
        <v>700</v>
      </c>
    </row>
    <row r="181" spans="1:4" ht="12.75" customHeight="1" x14ac:dyDescent="0.2">
      <c r="A181" s="248"/>
      <c r="B181" s="249"/>
      <c r="C181" s="249"/>
      <c r="D181" s="130"/>
    </row>
    <row r="182" spans="1:4" ht="14.25" customHeight="1" x14ac:dyDescent="0.2">
      <c r="A182" s="228" t="s">
        <v>1750</v>
      </c>
      <c r="B182" s="229"/>
      <c r="C182" s="229"/>
      <c r="D182" s="58">
        <f>SUM(D180:D181)</f>
        <v>700</v>
      </c>
    </row>
    <row r="183" spans="1:4" ht="14.25" customHeight="1" x14ac:dyDescent="0.2">
      <c r="A183" s="228" t="s">
        <v>1747</v>
      </c>
      <c r="B183" s="229"/>
      <c r="C183" s="229"/>
      <c r="D183" s="58">
        <v>700</v>
      </c>
    </row>
    <row r="184" spans="1:4" ht="14.25" customHeight="1" x14ac:dyDescent="0.2">
      <c r="A184" s="230" t="s">
        <v>1751</v>
      </c>
      <c r="B184" s="231"/>
      <c r="C184" s="231"/>
      <c r="D184" s="65">
        <v>42.3</v>
      </c>
    </row>
    <row r="185" spans="1:4" ht="14.25" customHeight="1" x14ac:dyDescent="0.2">
      <c r="A185" s="241" t="s">
        <v>1752</v>
      </c>
      <c r="B185" s="242"/>
      <c r="C185" s="242"/>
      <c r="D185" s="59">
        <f>D182-D184</f>
        <v>657.7</v>
      </c>
    </row>
    <row r="186" spans="1:4" x14ac:dyDescent="0.2">
      <c r="A186" s="75"/>
      <c r="B186" s="76"/>
      <c r="C186" s="76"/>
      <c r="D186" s="77"/>
    </row>
    <row r="187" spans="1:4" s="39" customFormat="1" ht="38.25" customHeight="1" x14ac:dyDescent="0.2">
      <c r="A187" s="41" t="s">
        <v>1129</v>
      </c>
      <c r="B187" s="235" t="s">
        <v>538</v>
      </c>
      <c r="C187" s="235"/>
      <c r="D187" s="235"/>
    </row>
    <row r="188" spans="1:4" ht="12.75" customHeight="1" x14ac:dyDescent="0.2">
      <c r="A188" s="294" t="s">
        <v>1332</v>
      </c>
      <c r="B188" s="295"/>
      <c r="C188" s="295"/>
      <c r="D188" s="129">
        <f>540+390</f>
        <v>930</v>
      </c>
    </row>
    <row r="189" spans="1:4" ht="12.75" customHeight="1" x14ac:dyDescent="0.2">
      <c r="A189" s="248"/>
      <c r="B189" s="249"/>
      <c r="C189" s="249"/>
      <c r="D189" s="130"/>
    </row>
    <row r="190" spans="1:4" ht="14.25" customHeight="1" x14ac:dyDescent="0.2">
      <c r="A190" s="228" t="s">
        <v>1753</v>
      </c>
      <c r="B190" s="229"/>
      <c r="C190" s="229"/>
      <c r="D190" s="58">
        <f>SUM(D188:D189)</f>
        <v>930</v>
      </c>
    </row>
    <row r="191" spans="1:4" ht="14.25" customHeight="1" x14ac:dyDescent="0.2">
      <c r="A191" s="228" t="s">
        <v>1749</v>
      </c>
      <c r="B191" s="229"/>
      <c r="C191" s="229"/>
      <c r="D191" s="58">
        <v>930</v>
      </c>
    </row>
    <row r="192" spans="1:4" ht="14.25" customHeight="1" x14ac:dyDescent="0.2">
      <c r="A192" s="230" t="s">
        <v>1754</v>
      </c>
      <c r="B192" s="231"/>
      <c r="C192" s="231"/>
      <c r="D192" s="65">
        <v>613.29999999999995</v>
      </c>
    </row>
    <row r="193" spans="1:4" ht="14.25" customHeight="1" x14ac:dyDescent="0.2">
      <c r="A193" s="241" t="s">
        <v>1755</v>
      </c>
      <c r="B193" s="242"/>
      <c r="C193" s="242"/>
      <c r="D193" s="59">
        <f>D190-D192</f>
        <v>316.70000000000005</v>
      </c>
    </row>
    <row r="194" spans="1:4" x14ac:dyDescent="0.2">
      <c r="A194" s="75"/>
      <c r="B194" s="76"/>
      <c r="C194" s="76"/>
      <c r="D194" s="77"/>
    </row>
    <row r="195" spans="1:4" s="39" customFormat="1" ht="38.25" customHeight="1" x14ac:dyDescent="0.2">
      <c r="A195" s="41" t="s">
        <v>1756</v>
      </c>
      <c r="B195" s="235" t="s">
        <v>1279</v>
      </c>
      <c r="C195" s="235"/>
      <c r="D195" s="235"/>
    </row>
    <row r="196" spans="1:4" ht="12.75" customHeight="1" x14ac:dyDescent="0.2">
      <c r="A196" s="294" t="s">
        <v>1332</v>
      </c>
      <c r="B196" s="295"/>
      <c r="C196" s="295"/>
      <c r="D196" s="129">
        <f>350+120+120</f>
        <v>590</v>
      </c>
    </row>
    <row r="197" spans="1:4" ht="12.75" customHeight="1" x14ac:dyDescent="0.2">
      <c r="A197" s="248"/>
      <c r="B197" s="249"/>
      <c r="C197" s="249"/>
      <c r="D197" s="130"/>
    </row>
    <row r="198" spans="1:4" ht="14.25" customHeight="1" x14ac:dyDescent="0.2">
      <c r="A198" s="228" t="s">
        <v>1758</v>
      </c>
      <c r="B198" s="229"/>
      <c r="C198" s="229"/>
      <c r="D198" s="58">
        <f>D196</f>
        <v>590</v>
      </c>
    </row>
    <row r="199" spans="1:4" ht="14.25" customHeight="1" x14ac:dyDescent="0.2">
      <c r="A199" s="228" t="s">
        <v>1757</v>
      </c>
      <c r="B199" s="229"/>
      <c r="C199" s="229"/>
      <c r="D199" s="58">
        <v>590</v>
      </c>
    </row>
    <row r="200" spans="1:4" ht="14.25" customHeight="1" x14ac:dyDescent="0.2">
      <c r="A200" s="230" t="s">
        <v>1759</v>
      </c>
      <c r="B200" s="231"/>
      <c r="C200" s="231"/>
      <c r="D200" s="65">
        <v>0</v>
      </c>
    </row>
    <row r="201" spans="1:4" ht="14.25" customHeight="1" x14ac:dyDescent="0.2">
      <c r="A201" s="291" t="s">
        <v>1760</v>
      </c>
      <c r="B201" s="292"/>
      <c r="C201" s="292"/>
      <c r="D201" s="171">
        <v>590</v>
      </c>
    </row>
    <row r="202" spans="1:4" x14ac:dyDescent="0.2">
      <c r="A202" s="75"/>
      <c r="B202" s="76"/>
      <c r="C202" s="76"/>
      <c r="D202" s="77"/>
    </row>
  </sheetData>
  <mergeCells count="159">
    <mergeCell ref="A38:C38"/>
    <mergeCell ref="A39:C39"/>
    <mergeCell ref="A40:B40"/>
    <mergeCell ref="B10:D10"/>
    <mergeCell ref="B11:D11"/>
    <mergeCell ref="B26:D26"/>
    <mergeCell ref="A37:C37"/>
    <mergeCell ref="A46:C46"/>
    <mergeCell ref="A48:C48"/>
    <mergeCell ref="B50:D50"/>
    <mergeCell ref="A51:C51"/>
    <mergeCell ref="A52:C52"/>
    <mergeCell ref="A7:D7"/>
    <mergeCell ref="B9:D9"/>
    <mergeCell ref="B178:D178"/>
    <mergeCell ref="B41:D41"/>
    <mergeCell ref="B42:D42"/>
    <mergeCell ref="A43:C43"/>
    <mergeCell ref="A44:C44"/>
    <mergeCell ref="A45:C45"/>
    <mergeCell ref="A12:B12"/>
    <mergeCell ref="A21:C21"/>
    <mergeCell ref="A22:C22"/>
    <mergeCell ref="A23:C23"/>
    <mergeCell ref="A24:C24"/>
    <mergeCell ref="A25:C25"/>
    <mergeCell ref="A27:B27"/>
    <mergeCell ref="A36:C36"/>
    <mergeCell ref="A60:C60"/>
    <mergeCell ref="A61:C61"/>
    <mergeCell ref="A62:C62"/>
    <mergeCell ref="A64:C64"/>
    <mergeCell ref="B66:D66"/>
    <mergeCell ref="A53:C53"/>
    <mergeCell ref="A54:C54"/>
    <mergeCell ref="A56:C56"/>
    <mergeCell ref="B58:D58"/>
    <mergeCell ref="A59:C59"/>
    <mergeCell ref="B82:D82"/>
    <mergeCell ref="A83:C83"/>
    <mergeCell ref="A84:C84"/>
    <mergeCell ref="A85:C85"/>
    <mergeCell ref="A86:C86"/>
    <mergeCell ref="A67:C67"/>
    <mergeCell ref="A68:C68"/>
    <mergeCell ref="A69:C69"/>
    <mergeCell ref="A70:C70"/>
    <mergeCell ref="A72:C72"/>
    <mergeCell ref="A94:C94"/>
    <mergeCell ref="A96:C96"/>
    <mergeCell ref="B98:D98"/>
    <mergeCell ref="A99:C99"/>
    <mergeCell ref="A100:C100"/>
    <mergeCell ref="A88:C88"/>
    <mergeCell ref="B90:D90"/>
    <mergeCell ref="A91:C91"/>
    <mergeCell ref="A92:C92"/>
    <mergeCell ref="A93:C93"/>
    <mergeCell ref="A108:C108"/>
    <mergeCell ref="A109:C109"/>
    <mergeCell ref="A110:C110"/>
    <mergeCell ref="A112:C112"/>
    <mergeCell ref="B114:D114"/>
    <mergeCell ref="A111:C111"/>
    <mergeCell ref="A101:C101"/>
    <mergeCell ref="A102:C102"/>
    <mergeCell ref="A104:C104"/>
    <mergeCell ref="B106:D106"/>
    <mergeCell ref="A107:C107"/>
    <mergeCell ref="A103:C103"/>
    <mergeCell ref="B122:D122"/>
    <mergeCell ref="A123:C123"/>
    <mergeCell ref="A124:C124"/>
    <mergeCell ref="A125:C125"/>
    <mergeCell ref="A126:C126"/>
    <mergeCell ref="A115:C115"/>
    <mergeCell ref="A116:C116"/>
    <mergeCell ref="A117:C117"/>
    <mergeCell ref="A118:C118"/>
    <mergeCell ref="A120:C120"/>
    <mergeCell ref="A119:C119"/>
    <mergeCell ref="A134:C134"/>
    <mergeCell ref="A136:C136"/>
    <mergeCell ref="B138:D138"/>
    <mergeCell ref="A139:C139"/>
    <mergeCell ref="A140:C140"/>
    <mergeCell ref="A128:C128"/>
    <mergeCell ref="B130:D130"/>
    <mergeCell ref="A131:C131"/>
    <mergeCell ref="A132:C132"/>
    <mergeCell ref="A133:C133"/>
    <mergeCell ref="A148:C148"/>
    <mergeCell ref="A149:C149"/>
    <mergeCell ref="A150:C150"/>
    <mergeCell ref="A152:C152"/>
    <mergeCell ref="B154:D154"/>
    <mergeCell ref="A141:C141"/>
    <mergeCell ref="A142:C142"/>
    <mergeCell ref="A144:C144"/>
    <mergeCell ref="B146:D146"/>
    <mergeCell ref="A147:C147"/>
    <mergeCell ref="A171:C171"/>
    <mergeCell ref="A172:C172"/>
    <mergeCell ref="A167:C167"/>
    <mergeCell ref="B162:D162"/>
    <mergeCell ref="A163:C163"/>
    <mergeCell ref="A164:C164"/>
    <mergeCell ref="A165:C165"/>
    <mergeCell ref="A155:C155"/>
    <mergeCell ref="A156:C156"/>
    <mergeCell ref="A157:C157"/>
    <mergeCell ref="A158:C158"/>
    <mergeCell ref="A160:C160"/>
    <mergeCell ref="A127:C127"/>
    <mergeCell ref="A135:C135"/>
    <mergeCell ref="A143:C143"/>
    <mergeCell ref="A151:C151"/>
    <mergeCell ref="A159:C159"/>
    <mergeCell ref="A173:C173"/>
    <mergeCell ref="A174:C174"/>
    <mergeCell ref="A176:C176"/>
    <mergeCell ref="A47:C47"/>
    <mergeCell ref="A55:C55"/>
    <mergeCell ref="A63:C63"/>
    <mergeCell ref="A71:C71"/>
    <mergeCell ref="B74:D74"/>
    <mergeCell ref="A75:C75"/>
    <mergeCell ref="A76:C76"/>
    <mergeCell ref="A77:C77"/>
    <mergeCell ref="A78:C78"/>
    <mergeCell ref="A79:C79"/>
    <mergeCell ref="A80:C80"/>
    <mergeCell ref="A87:C87"/>
    <mergeCell ref="A95:C95"/>
    <mergeCell ref="A166:C166"/>
    <mergeCell ref="A168:C168"/>
    <mergeCell ref="B170:D170"/>
    <mergeCell ref="A184:C184"/>
    <mergeCell ref="A192:C192"/>
    <mergeCell ref="A183:C183"/>
    <mergeCell ref="A185:C185"/>
    <mergeCell ref="B187:D187"/>
    <mergeCell ref="A188:C188"/>
    <mergeCell ref="A189:C189"/>
    <mergeCell ref="A175:C175"/>
    <mergeCell ref="B179:D179"/>
    <mergeCell ref="A180:C180"/>
    <mergeCell ref="A181:C181"/>
    <mergeCell ref="A182:C182"/>
    <mergeCell ref="A201:C201"/>
    <mergeCell ref="A200:C200"/>
    <mergeCell ref="B195:D195"/>
    <mergeCell ref="A196:C196"/>
    <mergeCell ref="A197:C197"/>
    <mergeCell ref="A198:C198"/>
    <mergeCell ref="A199:C199"/>
    <mergeCell ref="A190:C190"/>
    <mergeCell ref="A191:C191"/>
    <mergeCell ref="A193:C193"/>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A35E-8B29-4926-A5B4-284EEB0955B0}">
  <sheetPr>
    <tabColor theme="9" tint="-0.499984740745262"/>
  </sheetPr>
  <dimension ref="A1:F31"/>
  <sheetViews>
    <sheetView view="pageBreakPreview" topLeftCell="A4" zoomScale="90" zoomScaleNormal="95" zoomScaleSheetLayoutView="90" workbookViewId="0">
      <selection activeCell="A30" sqref="A30:D30"/>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6" x14ac:dyDescent="0.2">
      <c r="A1" s="26"/>
      <c r="B1" s="27"/>
      <c r="C1" s="27"/>
      <c r="D1" s="27"/>
      <c r="E1" s="28"/>
    </row>
    <row r="2" spans="1:6" x14ac:dyDescent="0.2">
      <c r="A2" s="30"/>
      <c r="E2" s="32"/>
    </row>
    <row r="3" spans="1:6" x14ac:dyDescent="0.2">
      <c r="A3" s="30"/>
      <c r="E3" s="32"/>
    </row>
    <row r="4" spans="1:6" x14ac:dyDescent="0.2">
      <c r="A4" s="30"/>
      <c r="E4" s="32"/>
    </row>
    <row r="5" spans="1:6" ht="15" customHeight="1" x14ac:dyDescent="0.2">
      <c r="A5" s="33"/>
      <c r="B5" s="34"/>
      <c r="C5" s="35"/>
      <c r="D5" s="35"/>
      <c r="E5" s="36"/>
    </row>
    <row r="6" spans="1:6" x14ac:dyDescent="0.2">
      <c r="A6" s="33" t="s">
        <v>820</v>
      </c>
      <c r="B6" s="34"/>
      <c r="C6" s="35"/>
      <c r="D6" s="35"/>
      <c r="E6" s="36"/>
    </row>
    <row r="7" spans="1:6" x14ac:dyDescent="0.2">
      <c r="A7" s="33" t="s">
        <v>2</v>
      </c>
      <c r="B7" s="34"/>
      <c r="C7" s="35"/>
      <c r="D7" s="35"/>
      <c r="E7" s="36"/>
    </row>
    <row r="8" spans="1:6" x14ac:dyDescent="0.2">
      <c r="A8" s="33" t="s">
        <v>1348</v>
      </c>
      <c r="B8" s="34"/>
      <c r="C8" s="35"/>
      <c r="D8" s="35"/>
      <c r="E8" s="36"/>
    </row>
    <row r="9" spans="1:6" x14ac:dyDescent="0.2">
      <c r="A9" s="33"/>
      <c r="B9" s="34"/>
      <c r="C9" s="35"/>
      <c r="D9" s="35"/>
      <c r="E9" s="36"/>
    </row>
    <row r="10" spans="1:6" ht="13.5" thickBot="1" x14ac:dyDescent="0.25">
      <c r="A10" s="37"/>
      <c r="B10" s="38"/>
      <c r="C10" s="38"/>
      <c r="D10" s="38"/>
      <c r="E10" s="32"/>
    </row>
    <row r="11" spans="1:6" s="39" customFormat="1" ht="21" customHeight="1" thickBot="1" x14ac:dyDescent="0.25">
      <c r="A11" s="250" t="s">
        <v>1352</v>
      </c>
      <c r="B11" s="251"/>
      <c r="C11" s="251"/>
      <c r="D11" s="251"/>
      <c r="E11" s="252"/>
    </row>
    <row r="12" spans="1:6" x14ac:dyDescent="0.2">
      <c r="A12" s="30"/>
      <c r="E12" s="32"/>
    </row>
    <row r="13" spans="1:6" ht="17.25" customHeight="1" x14ac:dyDescent="0.2">
      <c r="A13" s="40" t="s">
        <v>1816</v>
      </c>
      <c r="B13" s="234" t="s">
        <v>713</v>
      </c>
      <c r="C13" s="234"/>
      <c r="D13" s="234"/>
      <c r="E13" s="234"/>
    </row>
    <row r="14" spans="1:6" s="39" customFormat="1" ht="21" customHeight="1" x14ac:dyDescent="0.2">
      <c r="A14" s="41" t="s">
        <v>1817</v>
      </c>
      <c r="B14" s="235" t="s">
        <v>715</v>
      </c>
      <c r="C14" s="235"/>
      <c r="D14" s="235"/>
      <c r="E14" s="235"/>
      <c r="F14" s="67"/>
    </row>
    <row r="15" spans="1:6" s="39" customFormat="1" ht="21" hidden="1" customHeight="1" x14ac:dyDescent="0.2">
      <c r="A15" s="41" t="s">
        <v>1076</v>
      </c>
      <c r="B15" s="235" t="s">
        <v>719</v>
      </c>
      <c r="C15" s="235"/>
      <c r="D15" s="235"/>
      <c r="E15" s="235"/>
      <c r="F15" s="67"/>
    </row>
    <row r="16" spans="1:6" s="49" customFormat="1" ht="16.5" hidden="1" customHeight="1" x14ac:dyDescent="0.2">
      <c r="A16" s="296"/>
      <c r="B16" s="297"/>
      <c r="C16" s="74"/>
      <c r="D16" s="80"/>
      <c r="E16" s="100" t="s">
        <v>991</v>
      </c>
    </row>
    <row r="17" spans="1:6" s="49" customFormat="1" ht="17.25" hidden="1" customHeight="1" x14ac:dyDescent="0.2">
      <c r="A17" s="237" t="s">
        <v>1818</v>
      </c>
      <c r="B17" s="238"/>
      <c r="C17" s="238"/>
      <c r="D17" s="238"/>
      <c r="E17" s="69">
        <v>8380</v>
      </c>
    </row>
    <row r="18" spans="1:6" s="49" customFormat="1" ht="8.25" hidden="1" customHeight="1" x14ac:dyDescent="0.2">
      <c r="A18" s="157"/>
      <c r="B18" s="158"/>
      <c r="C18" s="158"/>
      <c r="D18" s="158"/>
      <c r="E18" s="69"/>
    </row>
    <row r="19" spans="1:6" s="49" customFormat="1" ht="16.5" hidden="1" customHeight="1" x14ac:dyDescent="0.2">
      <c r="A19" s="237" t="s">
        <v>1077</v>
      </c>
      <c r="B19" s="238"/>
      <c r="C19" s="238"/>
      <c r="D19" s="238"/>
      <c r="E19" s="69">
        <f>E17</f>
        <v>8380</v>
      </c>
    </row>
    <row r="20" spans="1:6" s="49" customFormat="1" ht="16.5" hidden="1" customHeight="1" x14ac:dyDescent="0.2">
      <c r="A20" s="237" t="s">
        <v>1078</v>
      </c>
      <c r="B20" s="238"/>
      <c r="C20" s="238"/>
      <c r="D20" s="238"/>
      <c r="E20" s="69">
        <v>20950</v>
      </c>
    </row>
    <row r="21" spans="1:6" s="39" customFormat="1" ht="14.25" hidden="1" customHeight="1" x14ac:dyDescent="0.2">
      <c r="A21" s="237" t="s">
        <v>1079</v>
      </c>
      <c r="B21" s="238"/>
      <c r="C21" s="238"/>
      <c r="D21" s="238"/>
      <c r="E21" s="46" t="s">
        <v>1819</v>
      </c>
    </row>
    <row r="22" spans="1:6" s="39" customFormat="1" ht="16.5" hidden="1" customHeight="1" x14ac:dyDescent="0.2">
      <c r="A22" s="239" t="s">
        <v>1080</v>
      </c>
      <c r="B22" s="240"/>
      <c r="C22" s="240"/>
      <c r="D22" s="240"/>
      <c r="E22" s="68">
        <f>E17</f>
        <v>8380</v>
      </c>
    </row>
    <row r="23" spans="1:6" s="39" customFormat="1" ht="21" customHeight="1" x14ac:dyDescent="0.2">
      <c r="A23" s="41" t="s">
        <v>1820</v>
      </c>
      <c r="B23" s="235" t="s">
        <v>717</v>
      </c>
      <c r="C23" s="235"/>
      <c r="D23" s="235"/>
      <c r="E23" s="235"/>
      <c r="F23" s="67"/>
    </row>
    <row r="24" spans="1:6" s="49" customFormat="1" ht="16.5" customHeight="1" x14ac:dyDescent="0.2">
      <c r="A24" s="296"/>
      <c r="B24" s="297"/>
      <c r="C24" s="74"/>
      <c r="D24" s="80"/>
      <c r="E24" s="100" t="s">
        <v>991</v>
      </c>
    </row>
    <row r="25" spans="1:6" s="49" customFormat="1" ht="17.25" customHeight="1" x14ac:dyDescent="0.2">
      <c r="A25" s="237" t="s">
        <v>1821</v>
      </c>
      <c r="B25" s="238"/>
      <c r="C25" s="238"/>
      <c r="D25" s="238"/>
      <c r="E25" s="69">
        <v>1150</v>
      </c>
    </row>
    <row r="26" spans="1:6" s="49" customFormat="1" ht="8.25" customHeight="1" x14ac:dyDescent="0.2">
      <c r="A26" s="157"/>
      <c r="B26" s="158"/>
      <c r="C26" s="158"/>
      <c r="D26" s="158"/>
      <c r="E26" s="69"/>
    </row>
    <row r="27" spans="1:6" s="49" customFormat="1" ht="16.5" customHeight="1" x14ac:dyDescent="0.2">
      <c r="A27" s="237" t="s">
        <v>1822</v>
      </c>
      <c r="B27" s="238"/>
      <c r="C27" s="238"/>
      <c r="D27" s="238"/>
      <c r="E27" s="69">
        <f>E25</f>
        <v>1150</v>
      </c>
    </row>
    <row r="28" spans="1:6" s="49" customFormat="1" ht="16.5" customHeight="1" x14ac:dyDescent="0.2">
      <c r="A28" s="237" t="s">
        <v>1823</v>
      </c>
      <c r="B28" s="238"/>
      <c r="C28" s="238"/>
      <c r="D28" s="238"/>
      <c r="E28" s="69">
        <v>1150</v>
      </c>
    </row>
    <row r="29" spans="1:6" s="39" customFormat="1" ht="14.25" customHeight="1" x14ac:dyDescent="0.2">
      <c r="A29" s="237" t="s">
        <v>1824</v>
      </c>
      <c r="B29" s="238"/>
      <c r="C29" s="238"/>
      <c r="D29" s="238"/>
      <c r="E29" s="46">
        <v>0</v>
      </c>
    </row>
    <row r="30" spans="1:6" s="39" customFormat="1" ht="16.5" customHeight="1" x14ac:dyDescent="0.2">
      <c r="A30" s="239" t="s">
        <v>1825</v>
      </c>
      <c r="B30" s="240"/>
      <c r="C30" s="240"/>
      <c r="D30" s="240"/>
      <c r="E30" s="68">
        <f>E25</f>
        <v>1150</v>
      </c>
    </row>
    <row r="31" spans="1:6" ht="14.25" customHeight="1" x14ac:dyDescent="0.2">
      <c r="A31" s="303"/>
      <c r="B31" s="304"/>
      <c r="C31" s="78"/>
      <c r="D31" s="78"/>
      <c r="E31" s="79"/>
    </row>
  </sheetData>
  <mergeCells count="18">
    <mergeCell ref="A17:D17"/>
    <mergeCell ref="A11:E11"/>
    <mergeCell ref="B13:E13"/>
    <mergeCell ref="B14:E14"/>
    <mergeCell ref="B15:E15"/>
    <mergeCell ref="A16:B16"/>
    <mergeCell ref="A31:B31"/>
    <mergeCell ref="A19:D19"/>
    <mergeCell ref="A20:D20"/>
    <mergeCell ref="A21:D21"/>
    <mergeCell ref="A22:D22"/>
    <mergeCell ref="B23:E23"/>
    <mergeCell ref="A24:B24"/>
    <mergeCell ref="A25:D25"/>
    <mergeCell ref="A27:D27"/>
    <mergeCell ref="A28:D28"/>
    <mergeCell ref="A29:D29"/>
    <mergeCell ref="A30:D30"/>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BBF-8F99-49A9-A94C-C6827C325AB0}">
  <sheetPr>
    <tabColor theme="9" tint="-0.499984740745262"/>
  </sheetPr>
  <dimension ref="A1:E87"/>
  <sheetViews>
    <sheetView tabSelected="1" view="pageBreakPreview" zoomScale="90" zoomScaleNormal="95" zoomScaleSheetLayoutView="90" workbookViewId="0">
      <selection activeCell="H5" sqref="H5"/>
    </sheetView>
  </sheetViews>
  <sheetFormatPr defaultColWidth="9" defaultRowHeight="12.75" x14ac:dyDescent="0.2"/>
  <cols>
    <col min="1" max="1" width="14.625" style="31" customWidth="1"/>
    <col min="2" max="2" width="15.625" style="31" customWidth="1"/>
    <col min="3" max="3" width="20.125" style="31" customWidth="1"/>
    <col min="4" max="4" width="18.625" style="31" customWidth="1"/>
    <col min="5" max="5" width="14.625" style="38" customWidth="1"/>
    <col min="6" max="16384" width="9" style="29"/>
  </cols>
  <sheetData>
    <row r="1" spans="1:5" x14ac:dyDescent="0.2">
      <c r="A1" s="30"/>
      <c r="E1" s="32"/>
    </row>
    <row r="2" spans="1:5" x14ac:dyDescent="0.2">
      <c r="A2" s="34"/>
      <c r="B2" s="34"/>
      <c r="C2" s="35"/>
      <c r="D2" s="35"/>
      <c r="E2" s="54"/>
    </row>
    <row r="3" spans="1:5" x14ac:dyDescent="0.2">
      <c r="A3" s="34" t="s">
        <v>820</v>
      </c>
      <c r="B3" s="34"/>
      <c r="C3" s="35"/>
      <c r="D3" s="35"/>
      <c r="E3" s="54"/>
    </row>
    <row r="4" spans="1:5" x14ac:dyDescent="0.2">
      <c r="A4" s="34" t="s">
        <v>2</v>
      </c>
      <c r="B4" s="34"/>
      <c r="C4" s="35"/>
      <c r="D4" s="35"/>
      <c r="E4" s="54"/>
    </row>
    <row r="5" spans="1:5" x14ac:dyDescent="0.2">
      <c r="A5" s="34" t="s">
        <v>1348</v>
      </c>
      <c r="B5" s="34"/>
      <c r="C5" s="35"/>
      <c r="D5" s="35"/>
      <c r="E5" s="35"/>
    </row>
    <row r="6" spans="1:5" ht="13.5" thickBot="1" x14ac:dyDescent="0.25">
      <c r="A6" s="55"/>
      <c r="B6" s="55"/>
      <c r="C6" s="55"/>
      <c r="D6" s="55"/>
      <c r="E6" s="55"/>
    </row>
    <row r="7" spans="1:5" s="39" customFormat="1" ht="21" customHeight="1" thickBot="1" x14ac:dyDescent="0.25">
      <c r="A7" s="273" t="s">
        <v>1352</v>
      </c>
      <c r="B7" s="251"/>
      <c r="C7" s="251"/>
      <c r="D7" s="251"/>
      <c r="E7" s="274"/>
    </row>
    <row r="8" spans="1:5" x14ac:dyDescent="0.2">
      <c r="A8" s="30"/>
      <c r="E8" s="32"/>
    </row>
    <row r="9" spans="1:5" ht="17.25" customHeight="1" x14ac:dyDescent="0.2">
      <c r="A9" s="40" t="s">
        <v>906</v>
      </c>
      <c r="B9" s="234" t="s">
        <v>729</v>
      </c>
      <c r="C9" s="234"/>
      <c r="D9" s="234"/>
      <c r="E9" s="234"/>
    </row>
    <row r="10" spans="1:5" ht="4.5" customHeight="1" x14ac:dyDescent="0.2">
      <c r="A10" s="56"/>
      <c r="B10" s="85"/>
      <c r="C10" s="85"/>
      <c r="E10" s="57"/>
    </row>
    <row r="11" spans="1:5" ht="17.25" customHeight="1" x14ac:dyDescent="0.2">
      <c r="A11" s="40" t="s">
        <v>1333</v>
      </c>
      <c r="B11" s="234" t="s">
        <v>756</v>
      </c>
      <c r="C11" s="234"/>
      <c r="D11" s="234"/>
      <c r="E11" s="234"/>
    </row>
    <row r="12" spans="1:5" s="39" customFormat="1" ht="23.25" customHeight="1" x14ac:dyDescent="0.2">
      <c r="A12" s="41" t="s">
        <v>1832</v>
      </c>
      <c r="B12" s="235" t="s">
        <v>762</v>
      </c>
      <c r="C12" s="235"/>
      <c r="D12" s="235"/>
      <c r="E12" s="235"/>
    </row>
    <row r="13" spans="1:5" s="49" customFormat="1" ht="16.5" customHeight="1" x14ac:dyDescent="0.2">
      <c r="A13" s="341" t="s">
        <v>821</v>
      </c>
      <c r="B13" s="300"/>
      <c r="C13" s="138"/>
      <c r="D13" s="138" t="s">
        <v>1834</v>
      </c>
      <c r="E13" s="100" t="s">
        <v>1835</v>
      </c>
    </row>
    <row r="14" spans="1:5" s="49" customFormat="1" ht="16.5" customHeight="1" x14ac:dyDescent="0.2">
      <c r="A14" s="342" t="s">
        <v>1833</v>
      </c>
      <c r="B14" s="343"/>
      <c r="C14" s="83"/>
      <c r="D14" s="83">
        <v>164</v>
      </c>
      <c r="E14" s="69">
        <f>D14</f>
        <v>164</v>
      </c>
    </row>
    <row r="15" spans="1:5" s="49" customFormat="1" x14ac:dyDescent="0.2">
      <c r="A15" s="237" t="s">
        <v>1839</v>
      </c>
      <c r="B15" s="238"/>
      <c r="C15" s="238"/>
      <c r="D15" s="238"/>
      <c r="E15" s="69">
        <f>SUM(E14:E14)</f>
        <v>164</v>
      </c>
    </row>
    <row r="16" spans="1:5" s="49" customFormat="1" x14ac:dyDescent="0.2">
      <c r="A16" s="237" t="s">
        <v>1840</v>
      </c>
      <c r="B16" s="238"/>
      <c r="C16" s="238"/>
      <c r="D16" s="238"/>
      <c r="E16" s="69">
        <v>179.25</v>
      </c>
    </row>
    <row r="17" spans="1:5" s="39" customFormat="1" x14ac:dyDescent="0.2">
      <c r="A17" s="333" t="s">
        <v>1841</v>
      </c>
      <c r="B17" s="334"/>
      <c r="C17" s="334"/>
      <c r="D17" s="334"/>
      <c r="E17" s="127">
        <f>E15-E14</f>
        <v>0</v>
      </c>
    </row>
    <row r="18" spans="1:5" s="39" customFormat="1" x14ac:dyDescent="0.2">
      <c r="A18" s="239" t="s">
        <v>1842</v>
      </c>
      <c r="B18" s="240"/>
      <c r="C18" s="240"/>
      <c r="D18" s="240"/>
      <c r="E18" s="68">
        <f>E15-E17</f>
        <v>164</v>
      </c>
    </row>
    <row r="19" spans="1:5" ht="14.25" customHeight="1" x14ac:dyDescent="0.2">
      <c r="A19" s="285"/>
      <c r="B19" s="286"/>
      <c r="C19" s="48"/>
      <c r="D19" s="48"/>
      <c r="E19" s="58"/>
    </row>
    <row r="20" spans="1:5" s="39" customFormat="1" ht="23.25" customHeight="1" x14ac:dyDescent="0.2">
      <c r="A20" s="41" t="s">
        <v>1836</v>
      </c>
      <c r="B20" s="235" t="s">
        <v>764</v>
      </c>
      <c r="C20" s="235"/>
      <c r="D20" s="235"/>
      <c r="E20" s="235"/>
    </row>
    <row r="21" spans="1:5" s="49" customFormat="1" ht="16.5" customHeight="1" x14ac:dyDescent="0.2">
      <c r="A21" s="341" t="s">
        <v>821</v>
      </c>
      <c r="B21" s="300"/>
      <c r="C21" s="138" t="s">
        <v>878</v>
      </c>
      <c r="D21" s="138" t="s">
        <v>1837</v>
      </c>
      <c r="E21" s="100" t="s">
        <v>1838</v>
      </c>
    </row>
    <row r="22" spans="1:5" s="49" customFormat="1" ht="16.5" customHeight="1" x14ac:dyDescent="0.2">
      <c r="A22" s="342" t="s">
        <v>1833</v>
      </c>
      <c r="B22" s="343"/>
      <c r="C22" s="83">
        <v>8</v>
      </c>
      <c r="D22" s="83">
        <f>1*1*0.6</f>
        <v>0.6</v>
      </c>
      <c r="E22" s="69">
        <f>D22*C22</f>
        <v>4.8</v>
      </c>
    </row>
    <row r="23" spans="1:5" s="49" customFormat="1" ht="16.5" customHeight="1" x14ac:dyDescent="0.2">
      <c r="A23" s="342" t="s">
        <v>1847</v>
      </c>
      <c r="B23" s="343"/>
      <c r="C23" s="83">
        <v>1</v>
      </c>
      <c r="D23" s="83">
        <v>0.22</v>
      </c>
      <c r="E23" s="69">
        <f>D23*C23</f>
        <v>0.22</v>
      </c>
    </row>
    <row r="24" spans="1:5" s="49" customFormat="1" x14ac:dyDescent="0.2">
      <c r="A24" s="237" t="s">
        <v>1843</v>
      </c>
      <c r="B24" s="238"/>
      <c r="C24" s="238"/>
      <c r="D24" s="238"/>
      <c r="E24" s="69">
        <f>SUM(E22:E23)</f>
        <v>5.0199999999999996</v>
      </c>
    </row>
    <row r="25" spans="1:5" s="49" customFormat="1" x14ac:dyDescent="0.2">
      <c r="A25" s="237" t="s">
        <v>1845</v>
      </c>
      <c r="B25" s="238"/>
      <c r="C25" s="238"/>
      <c r="D25" s="238"/>
      <c r="E25" s="69">
        <v>2.39</v>
      </c>
    </row>
    <row r="26" spans="1:5" s="39" customFormat="1" x14ac:dyDescent="0.2">
      <c r="A26" s="333" t="s">
        <v>1844</v>
      </c>
      <c r="B26" s="334"/>
      <c r="C26" s="334"/>
      <c r="D26" s="334"/>
      <c r="E26" s="127">
        <v>0.22</v>
      </c>
    </row>
    <row r="27" spans="1:5" s="39" customFormat="1" x14ac:dyDescent="0.2">
      <c r="A27" s="239" t="s">
        <v>1846</v>
      </c>
      <c r="B27" s="240"/>
      <c r="C27" s="240"/>
      <c r="D27" s="240"/>
      <c r="E27" s="68">
        <f>E25-E26</f>
        <v>2.17</v>
      </c>
    </row>
    <row r="28" spans="1:5" s="39" customFormat="1" x14ac:dyDescent="0.2">
      <c r="A28" s="278" t="s">
        <v>1848</v>
      </c>
      <c r="B28" s="279"/>
      <c r="C28" s="279"/>
      <c r="D28" s="279"/>
      <c r="E28" s="86">
        <f>E25-E24</f>
        <v>-2.6299999999999994</v>
      </c>
    </row>
    <row r="29" spans="1:5" ht="14.25" customHeight="1" x14ac:dyDescent="0.2">
      <c r="A29" s="285"/>
      <c r="B29" s="286"/>
      <c r="C29" s="48"/>
      <c r="D29" s="48"/>
      <c r="E29" s="58"/>
    </row>
    <row r="30" spans="1:5" s="39" customFormat="1" ht="23.25" customHeight="1" x14ac:dyDescent="0.2">
      <c r="A30" s="41" t="s">
        <v>1334</v>
      </c>
      <c r="B30" s="235" t="s">
        <v>1283</v>
      </c>
      <c r="C30" s="235"/>
      <c r="D30" s="235"/>
      <c r="E30" s="235"/>
    </row>
    <row r="31" spans="1:5" s="49" customFormat="1" ht="16.5" customHeight="1" x14ac:dyDescent="0.2">
      <c r="A31" s="341" t="s">
        <v>821</v>
      </c>
      <c r="B31" s="300"/>
      <c r="C31" s="138" t="s">
        <v>824</v>
      </c>
      <c r="D31" s="138" t="s">
        <v>823</v>
      </c>
      <c r="E31" s="100" t="s">
        <v>880</v>
      </c>
    </row>
    <row r="32" spans="1:5" s="49" customFormat="1" ht="16.5" customHeight="1" x14ac:dyDescent="0.2">
      <c r="A32" s="342" t="s">
        <v>1335</v>
      </c>
      <c r="B32" s="343"/>
      <c r="C32" s="83">
        <f>25+25+10</f>
        <v>60</v>
      </c>
      <c r="D32" s="83">
        <v>2.1</v>
      </c>
      <c r="E32" s="69">
        <f>C32*D32</f>
        <v>126</v>
      </c>
    </row>
    <row r="33" spans="1:5" s="49" customFormat="1" x14ac:dyDescent="0.2">
      <c r="A33" s="237" t="s">
        <v>1343</v>
      </c>
      <c r="B33" s="238"/>
      <c r="C33" s="238"/>
      <c r="D33" s="238"/>
      <c r="E33" s="69">
        <f>SUM(E32:E32)</f>
        <v>126</v>
      </c>
    </row>
    <row r="34" spans="1:5" s="49" customFormat="1" x14ac:dyDescent="0.2">
      <c r="A34" s="237" t="s">
        <v>1336</v>
      </c>
      <c r="B34" s="238"/>
      <c r="C34" s="238"/>
      <c r="D34" s="238"/>
      <c r="E34" s="69">
        <v>126</v>
      </c>
    </row>
    <row r="35" spans="1:5" s="39" customFormat="1" x14ac:dyDescent="0.2">
      <c r="A35" s="333" t="s">
        <v>1798</v>
      </c>
      <c r="B35" s="334"/>
      <c r="C35" s="334"/>
      <c r="D35" s="334"/>
      <c r="E35" s="127">
        <f>E33-E32</f>
        <v>0</v>
      </c>
    </row>
    <row r="36" spans="1:5" s="39" customFormat="1" x14ac:dyDescent="0.2">
      <c r="A36" s="239" t="s">
        <v>1799</v>
      </c>
      <c r="B36" s="240"/>
      <c r="C36" s="240"/>
      <c r="D36" s="240"/>
      <c r="E36" s="68">
        <v>126</v>
      </c>
    </row>
    <row r="37" spans="1:5" ht="14.25" customHeight="1" x14ac:dyDescent="0.2">
      <c r="A37" s="285"/>
      <c r="B37" s="286"/>
      <c r="C37" s="48"/>
      <c r="D37" s="48"/>
      <c r="E37" s="58"/>
    </row>
    <row r="38" spans="1:5" s="39" customFormat="1" ht="27.75" customHeight="1" x14ac:dyDescent="0.2">
      <c r="A38" s="41" t="s">
        <v>1337</v>
      </c>
      <c r="B38" s="235" t="s">
        <v>103</v>
      </c>
      <c r="C38" s="235"/>
      <c r="D38" s="235"/>
      <c r="E38" s="235"/>
    </row>
    <row r="39" spans="1:5" s="49" customFormat="1" ht="16.5" customHeight="1" x14ac:dyDescent="0.2">
      <c r="A39" s="341" t="s">
        <v>821</v>
      </c>
      <c r="B39" s="300"/>
      <c r="C39" s="138" t="s">
        <v>824</v>
      </c>
      <c r="D39" s="138"/>
      <c r="E39" s="100" t="s">
        <v>1338</v>
      </c>
    </row>
    <row r="40" spans="1:5" s="49" customFormat="1" ht="16.5" customHeight="1" x14ac:dyDescent="0.2">
      <c r="A40" s="342" t="s">
        <v>1339</v>
      </c>
      <c r="B40" s="343"/>
      <c r="C40" s="83">
        <v>200</v>
      </c>
      <c r="D40" s="83"/>
      <c r="E40" s="69">
        <f>200*0.617</f>
        <v>123.4</v>
      </c>
    </row>
    <row r="41" spans="1:5" s="49" customFormat="1" x14ac:dyDescent="0.2">
      <c r="A41" s="237" t="s">
        <v>1344</v>
      </c>
      <c r="B41" s="238"/>
      <c r="C41" s="238"/>
      <c r="D41" s="238"/>
      <c r="E41" s="69">
        <f>SUM(E40:E40)</f>
        <v>123.4</v>
      </c>
    </row>
    <row r="42" spans="1:5" s="49" customFormat="1" x14ac:dyDescent="0.2">
      <c r="A42" s="237" t="s">
        <v>1340</v>
      </c>
      <c r="B42" s="238"/>
      <c r="C42" s="238"/>
      <c r="D42" s="238"/>
      <c r="E42" s="69" t="s">
        <v>1802</v>
      </c>
    </row>
    <row r="43" spans="1:5" s="39" customFormat="1" x14ac:dyDescent="0.2">
      <c r="A43" s="333" t="s">
        <v>1800</v>
      </c>
      <c r="B43" s="334"/>
      <c r="C43" s="334"/>
      <c r="D43" s="334"/>
      <c r="E43" s="127">
        <f>E41-E40</f>
        <v>0</v>
      </c>
    </row>
    <row r="44" spans="1:5" s="39" customFormat="1" x14ac:dyDescent="0.2">
      <c r="A44" s="239" t="s">
        <v>1801</v>
      </c>
      <c r="B44" s="240"/>
      <c r="C44" s="240"/>
      <c r="D44" s="240"/>
      <c r="E44" s="68">
        <v>123.4</v>
      </c>
    </row>
    <row r="45" spans="1:5" ht="14.25" customHeight="1" x14ac:dyDescent="0.2">
      <c r="A45" s="285"/>
      <c r="B45" s="286"/>
      <c r="C45" s="48"/>
      <c r="D45" s="48"/>
      <c r="E45" s="58"/>
    </row>
    <row r="46" spans="1:5" ht="17.25" customHeight="1" x14ac:dyDescent="0.2">
      <c r="A46" s="40" t="s">
        <v>968</v>
      </c>
      <c r="B46" s="234" t="s">
        <v>693</v>
      </c>
      <c r="C46" s="234"/>
      <c r="D46" s="234"/>
      <c r="E46" s="234"/>
    </row>
    <row r="47" spans="1:5" s="39" customFormat="1" ht="26.25" customHeight="1" x14ac:dyDescent="0.2">
      <c r="A47" s="41" t="s">
        <v>1884</v>
      </c>
      <c r="B47" s="253" t="s">
        <v>794</v>
      </c>
      <c r="C47" s="254"/>
      <c r="D47" s="254"/>
      <c r="E47" s="255"/>
    </row>
    <row r="48" spans="1:5" s="43" customFormat="1" ht="14.25" customHeight="1" x14ac:dyDescent="0.2">
      <c r="A48" s="44" t="s">
        <v>821</v>
      </c>
      <c r="B48" s="45" t="s">
        <v>824</v>
      </c>
      <c r="C48" s="45" t="s">
        <v>823</v>
      </c>
      <c r="D48" s="45" t="s">
        <v>1885</v>
      </c>
      <c r="E48" s="47" t="s">
        <v>1837</v>
      </c>
    </row>
    <row r="49" spans="1:5" s="43" customFormat="1" ht="30" customHeight="1" x14ac:dyDescent="0.2">
      <c r="A49" s="182" t="s">
        <v>1886</v>
      </c>
      <c r="B49" s="183">
        <v>150</v>
      </c>
      <c r="C49" s="183">
        <v>0.1</v>
      </c>
      <c r="D49" s="183">
        <v>0.1</v>
      </c>
      <c r="E49" s="69">
        <f>(B49*C49*D49)</f>
        <v>1.5</v>
      </c>
    </row>
    <row r="50" spans="1:5" s="43" customFormat="1" ht="14.25" customHeight="1" x14ac:dyDescent="0.2">
      <c r="A50" s="81" t="s">
        <v>1890</v>
      </c>
      <c r="B50" s="50">
        <v>8</v>
      </c>
      <c r="C50" s="50">
        <v>0.65</v>
      </c>
      <c r="D50" s="50">
        <v>0.105</v>
      </c>
      <c r="E50" s="72">
        <f>(B50*C50*D50)</f>
        <v>0.54600000000000004</v>
      </c>
    </row>
    <row r="51" spans="1:5" s="43" customFormat="1" ht="14.25" customHeight="1" x14ac:dyDescent="0.2">
      <c r="A51" s="81" t="s">
        <v>1887</v>
      </c>
      <c r="B51" s="50">
        <v>85</v>
      </c>
      <c r="C51" s="50">
        <v>0.1</v>
      </c>
      <c r="D51" s="50">
        <v>0.2</v>
      </c>
      <c r="E51" s="72">
        <f>(B51*C51*D51)</f>
        <v>1.7000000000000002</v>
      </c>
    </row>
    <row r="52" spans="1:5" s="49" customFormat="1" ht="16.5" customHeight="1" x14ac:dyDescent="0.2">
      <c r="A52" s="237" t="s">
        <v>970</v>
      </c>
      <c r="B52" s="238"/>
      <c r="C52" s="238"/>
      <c r="D52" s="238"/>
      <c r="E52" s="132">
        <f>SUM(E49:E51)</f>
        <v>3.7460000000000004</v>
      </c>
    </row>
    <row r="53" spans="1:5" s="39" customFormat="1" ht="15.75" customHeight="1" x14ac:dyDescent="0.2">
      <c r="A53" s="237" t="s">
        <v>969</v>
      </c>
      <c r="B53" s="238"/>
      <c r="C53" s="238"/>
      <c r="D53" s="238"/>
      <c r="E53" s="162">
        <v>3.75</v>
      </c>
    </row>
    <row r="54" spans="1:5" s="39" customFormat="1" ht="15.75" customHeight="1" x14ac:dyDescent="0.2">
      <c r="A54" s="237" t="s">
        <v>1888</v>
      </c>
      <c r="B54" s="238"/>
      <c r="C54" s="238"/>
      <c r="D54" s="238"/>
      <c r="E54" s="132">
        <v>3.2</v>
      </c>
    </row>
    <row r="55" spans="1:5" s="39" customFormat="1" ht="16.5" customHeight="1" x14ac:dyDescent="0.2">
      <c r="A55" s="239" t="s">
        <v>1889</v>
      </c>
      <c r="B55" s="240"/>
      <c r="C55" s="240"/>
      <c r="D55" s="240"/>
      <c r="E55" s="133">
        <f>E52-E54</f>
        <v>0.54600000000000026</v>
      </c>
    </row>
    <row r="56" spans="1:5" ht="14.25" customHeight="1" x14ac:dyDescent="0.2">
      <c r="A56" s="280"/>
      <c r="B56" s="281"/>
      <c r="C56" s="281"/>
      <c r="D56" s="90"/>
      <c r="E56" s="184"/>
    </row>
    <row r="57" spans="1:5" s="39" customFormat="1" ht="25.5" customHeight="1" x14ac:dyDescent="0.2">
      <c r="A57" s="41" t="s">
        <v>974</v>
      </c>
      <c r="B57" s="235" t="s">
        <v>1341</v>
      </c>
      <c r="C57" s="235"/>
      <c r="D57" s="235"/>
      <c r="E57" s="235"/>
    </row>
    <row r="58" spans="1:5" s="49" customFormat="1" ht="16.5" customHeight="1" x14ac:dyDescent="0.2">
      <c r="A58" s="341" t="s">
        <v>821</v>
      </c>
      <c r="B58" s="300"/>
      <c r="C58" s="138" t="s">
        <v>824</v>
      </c>
      <c r="D58" s="138" t="s">
        <v>823</v>
      </c>
      <c r="E58" s="100" t="s">
        <v>880</v>
      </c>
    </row>
    <row r="59" spans="1:5" s="49" customFormat="1" ht="16.5" customHeight="1" x14ac:dyDescent="0.2">
      <c r="A59" s="342" t="s">
        <v>1335</v>
      </c>
      <c r="B59" s="343"/>
      <c r="C59" s="83">
        <v>60</v>
      </c>
      <c r="D59" s="83">
        <v>1.9</v>
      </c>
      <c r="E59" s="69">
        <f>C59*D59</f>
        <v>114</v>
      </c>
    </row>
    <row r="60" spans="1:5" s="49" customFormat="1" ht="16.5" customHeight="1" x14ac:dyDescent="0.2">
      <c r="A60" s="342" t="s">
        <v>1792</v>
      </c>
      <c r="B60" s="343"/>
      <c r="C60" s="83">
        <v>0.8</v>
      </c>
      <c r="D60" s="83">
        <v>0.8</v>
      </c>
      <c r="E60" s="69">
        <f>C60*D60*17</f>
        <v>10.880000000000003</v>
      </c>
    </row>
    <row r="61" spans="1:5" s="49" customFormat="1" ht="26.25" customHeight="1" x14ac:dyDescent="0.2">
      <c r="A61" s="342" t="s">
        <v>1793</v>
      </c>
      <c r="B61" s="343"/>
      <c r="C61" s="83">
        <f>2.15+3.1+3.1</f>
        <v>8.35</v>
      </c>
      <c r="D61" s="83">
        <v>1</v>
      </c>
      <c r="E61" s="69">
        <f>C61*D61</f>
        <v>8.35</v>
      </c>
    </row>
    <row r="62" spans="1:5" s="49" customFormat="1" ht="26.25" customHeight="1" x14ac:dyDescent="0.2">
      <c r="A62" s="342" t="s">
        <v>1794</v>
      </c>
      <c r="B62" s="343"/>
      <c r="C62" s="83">
        <v>1.6</v>
      </c>
      <c r="D62" s="83">
        <v>0.65</v>
      </c>
      <c r="E62" s="69">
        <f>C62*D62*19</f>
        <v>19.760000000000002</v>
      </c>
    </row>
    <row r="63" spans="1:5" s="49" customFormat="1" x14ac:dyDescent="0.2">
      <c r="A63" s="237" t="s">
        <v>1795</v>
      </c>
      <c r="B63" s="238"/>
      <c r="C63" s="238"/>
      <c r="D63" s="238"/>
      <c r="E63" s="69">
        <f>SUM(E59:E62)</f>
        <v>152.98999999999998</v>
      </c>
    </row>
    <row r="64" spans="1:5" s="49" customFormat="1" x14ac:dyDescent="0.2">
      <c r="A64" s="237" t="s">
        <v>1342</v>
      </c>
      <c r="B64" s="238"/>
      <c r="C64" s="238"/>
      <c r="D64" s="238"/>
      <c r="E64" s="69">
        <v>152.99</v>
      </c>
    </row>
    <row r="65" spans="1:5" s="39" customFormat="1" x14ac:dyDescent="0.2">
      <c r="A65" s="333" t="s">
        <v>1796</v>
      </c>
      <c r="B65" s="334"/>
      <c r="C65" s="334"/>
      <c r="D65" s="334"/>
      <c r="E65" s="127">
        <v>89.42</v>
      </c>
    </row>
    <row r="66" spans="1:5" s="39" customFormat="1" x14ac:dyDescent="0.2">
      <c r="A66" s="239" t="s">
        <v>1797</v>
      </c>
      <c r="B66" s="240"/>
      <c r="C66" s="240"/>
      <c r="D66" s="240"/>
      <c r="E66" s="68">
        <f>E63-E65</f>
        <v>63.569999999999979</v>
      </c>
    </row>
    <row r="67" spans="1:5" ht="14.25" customHeight="1" x14ac:dyDescent="0.2">
      <c r="A67" s="303"/>
      <c r="B67" s="304"/>
      <c r="C67" s="78"/>
      <c r="D67" s="78"/>
      <c r="E67" s="79"/>
    </row>
    <row r="68" spans="1:5" s="39" customFormat="1" ht="25.5" customHeight="1" x14ac:dyDescent="0.2">
      <c r="A68" s="40" t="s">
        <v>1803</v>
      </c>
      <c r="B68" s="234" t="s">
        <v>204</v>
      </c>
      <c r="C68" s="234"/>
      <c r="D68" s="234"/>
      <c r="E68" s="234"/>
    </row>
    <row r="69" spans="1:5" s="39" customFormat="1" ht="25.5" customHeight="1" x14ac:dyDescent="0.2">
      <c r="A69" s="41" t="s">
        <v>1804</v>
      </c>
      <c r="B69" s="235" t="s">
        <v>216</v>
      </c>
      <c r="C69" s="235"/>
      <c r="D69" s="235"/>
      <c r="E69" s="235"/>
    </row>
    <row r="70" spans="1:5" s="49" customFormat="1" ht="16.5" customHeight="1" x14ac:dyDescent="0.2">
      <c r="A70" s="341" t="s">
        <v>821</v>
      </c>
      <c r="B70" s="300"/>
      <c r="C70" s="138"/>
      <c r="D70" s="138"/>
      <c r="E70" s="100" t="s">
        <v>880</v>
      </c>
    </row>
    <row r="71" spans="1:5" s="49" customFormat="1" ht="15.75" customHeight="1" x14ac:dyDescent="0.2">
      <c r="A71" s="342" t="s">
        <v>1805</v>
      </c>
      <c r="B71" s="343"/>
      <c r="C71" s="83"/>
      <c r="D71" s="83"/>
      <c r="E71" s="69">
        <v>247.89</v>
      </c>
    </row>
    <row r="72" spans="1:5" s="49" customFormat="1" ht="14.25" customHeight="1" x14ac:dyDescent="0.2">
      <c r="A72" s="342"/>
      <c r="B72" s="343"/>
      <c r="C72" s="83"/>
      <c r="D72" s="83"/>
      <c r="E72" s="69"/>
    </row>
    <row r="73" spans="1:5" s="49" customFormat="1" x14ac:dyDescent="0.2">
      <c r="A73" s="237" t="s">
        <v>1806</v>
      </c>
      <c r="B73" s="238"/>
      <c r="C73" s="238"/>
      <c r="D73" s="238"/>
      <c r="E73" s="69">
        <f>SUM(E71:E72)</f>
        <v>247.89</v>
      </c>
    </row>
    <row r="74" spans="1:5" s="49" customFormat="1" x14ac:dyDescent="0.2">
      <c r="A74" s="237" t="s">
        <v>1807</v>
      </c>
      <c r="B74" s="238"/>
      <c r="C74" s="238"/>
      <c r="D74" s="238"/>
      <c r="E74" s="69">
        <v>247.89</v>
      </c>
    </row>
    <row r="75" spans="1:5" s="39" customFormat="1" x14ac:dyDescent="0.2">
      <c r="A75" s="333" t="s">
        <v>1808</v>
      </c>
      <c r="B75" s="334"/>
      <c r="C75" s="334"/>
      <c r="D75" s="334"/>
      <c r="E75" s="127">
        <v>0</v>
      </c>
    </row>
    <row r="76" spans="1:5" s="39" customFormat="1" x14ac:dyDescent="0.2">
      <c r="A76" s="239" t="s">
        <v>1809</v>
      </c>
      <c r="B76" s="240"/>
      <c r="C76" s="240"/>
      <c r="D76" s="240"/>
      <c r="E76" s="68">
        <f>E73-E75</f>
        <v>247.89</v>
      </c>
    </row>
    <row r="77" spans="1:5" ht="14.25" customHeight="1" x14ac:dyDescent="0.2">
      <c r="A77" s="303"/>
      <c r="B77" s="304"/>
      <c r="C77" s="78"/>
      <c r="D77" s="78"/>
      <c r="E77" s="79"/>
    </row>
    <row r="78" spans="1:5" s="39" customFormat="1" ht="25.5" customHeight="1" x14ac:dyDescent="0.2">
      <c r="A78" s="41" t="s">
        <v>1810</v>
      </c>
      <c r="B78" s="235" t="s">
        <v>810</v>
      </c>
      <c r="C78" s="235"/>
      <c r="D78" s="235"/>
      <c r="E78" s="235"/>
    </row>
    <row r="79" spans="1:5" s="49" customFormat="1" ht="16.5" customHeight="1" x14ac:dyDescent="0.2">
      <c r="A79" s="341" t="s">
        <v>821</v>
      </c>
      <c r="B79" s="300"/>
      <c r="C79" s="138"/>
      <c r="D79" s="138"/>
      <c r="E79" s="100" t="s">
        <v>880</v>
      </c>
    </row>
    <row r="80" spans="1:5" s="49" customFormat="1" ht="16.5" customHeight="1" x14ac:dyDescent="0.2">
      <c r="A80" s="342" t="s">
        <v>1805</v>
      </c>
      <c r="B80" s="343"/>
      <c r="C80" s="83"/>
      <c r="D80" s="83"/>
      <c r="E80" s="69">
        <v>247.89</v>
      </c>
    </row>
    <row r="81" spans="1:5" s="49" customFormat="1" ht="15.75" customHeight="1" x14ac:dyDescent="0.2">
      <c r="A81" s="342"/>
      <c r="B81" s="343"/>
      <c r="C81" s="83"/>
      <c r="D81" s="83"/>
      <c r="E81" s="69"/>
    </row>
    <row r="82" spans="1:5" s="49" customFormat="1" x14ac:dyDescent="0.2">
      <c r="A82" s="237" t="s">
        <v>1040</v>
      </c>
      <c r="B82" s="238"/>
      <c r="C82" s="238"/>
      <c r="D82" s="238"/>
      <c r="E82" s="69">
        <f>SUM(E80:E81)</f>
        <v>247.89</v>
      </c>
    </row>
    <row r="83" spans="1:5" s="49" customFormat="1" x14ac:dyDescent="0.2">
      <c r="A83" s="237" t="s">
        <v>1041</v>
      </c>
      <c r="B83" s="238"/>
      <c r="C83" s="238"/>
      <c r="D83" s="238"/>
      <c r="E83" s="69">
        <v>247.89</v>
      </c>
    </row>
    <row r="84" spans="1:5" s="39" customFormat="1" x14ac:dyDescent="0.2">
      <c r="A84" s="333" t="s">
        <v>1811</v>
      </c>
      <c r="B84" s="334"/>
      <c r="C84" s="334"/>
      <c r="D84" s="334"/>
      <c r="E84" s="127">
        <v>0</v>
      </c>
    </row>
    <row r="85" spans="1:5" s="39" customFormat="1" x14ac:dyDescent="0.2">
      <c r="A85" s="239" t="s">
        <v>1812</v>
      </c>
      <c r="B85" s="240"/>
      <c r="C85" s="240"/>
      <c r="D85" s="240"/>
      <c r="E85" s="68">
        <f>E82-E84</f>
        <v>247.89</v>
      </c>
    </row>
    <row r="86" spans="1:5" ht="14.25" customHeight="1" x14ac:dyDescent="0.2">
      <c r="A86" s="303"/>
      <c r="B86" s="304"/>
      <c r="C86" s="78"/>
      <c r="D86" s="78"/>
      <c r="E86" s="79"/>
    </row>
    <row r="87" spans="1:5" ht="14.25" customHeight="1" x14ac:dyDescent="0.2">
      <c r="A87" s="280"/>
      <c r="B87" s="281"/>
      <c r="C87" s="90"/>
      <c r="D87" s="90"/>
      <c r="E87" s="91"/>
    </row>
  </sheetData>
  <mergeCells count="75">
    <mergeCell ref="A19:B19"/>
    <mergeCell ref="B20:E20"/>
    <mergeCell ref="A21:B21"/>
    <mergeCell ref="A29:B29"/>
    <mergeCell ref="A23:B23"/>
    <mergeCell ref="A28:D28"/>
    <mergeCell ref="A22:B22"/>
    <mergeCell ref="A24:D24"/>
    <mergeCell ref="A7:E7"/>
    <mergeCell ref="B9:E9"/>
    <mergeCell ref="A31:B31"/>
    <mergeCell ref="B11:E11"/>
    <mergeCell ref="A33:D33"/>
    <mergeCell ref="A25:D25"/>
    <mergeCell ref="A26:D26"/>
    <mergeCell ref="A27:D27"/>
    <mergeCell ref="B30:E30"/>
    <mergeCell ref="B12:E12"/>
    <mergeCell ref="A13:B13"/>
    <mergeCell ref="A14:B14"/>
    <mergeCell ref="A15:D15"/>
    <mergeCell ref="A16:D16"/>
    <mergeCell ref="A17:D17"/>
    <mergeCell ref="A18:D18"/>
    <mergeCell ref="A45:B45"/>
    <mergeCell ref="B46:E46"/>
    <mergeCell ref="B57:E57"/>
    <mergeCell ref="A58:B58"/>
    <mergeCell ref="A44:D44"/>
    <mergeCell ref="A56:C56"/>
    <mergeCell ref="B47:E47"/>
    <mergeCell ref="A52:D52"/>
    <mergeCell ref="A53:D53"/>
    <mergeCell ref="A54:D54"/>
    <mergeCell ref="A55:D55"/>
    <mergeCell ref="A35:D35"/>
    <mergeCell ref="A43:D43"/>
    <mergeCell ref="A32:B32"/>
    <mergeCell ref="A34:D34"/>
    <mergeCell ref="A36:D36"/>
    <mergeCell ref="A37:B37"/>
    <mergeCell ref="B38:E38"/>
    <mergeCell ref="A39:B39"/>
    <mergeCell ref="A40:B40"/>
    <mergeCell ref="A41:D41"/>
    <mergeCell ref="A42:D42"/>
    <mergeCell ref="A87:B87"/>
    <mergeCell ref="A81:B81"/>
    <mergeCell ref="A74:D74"/>
    <mergeCell ref="A76:D76"/>
    <mergeCell ref="A77:B77"/>
    <mergeCell ref="A75:D75"/>
    <mergeCell ref="A80:B80"/>
    <mergeCell ref="A84:D84"/>
    <mergeCell ref="A82:D82"/>
    <mergeCell ref="A83:D83"/>
    <mergeCell ref="A86:B86"/>
    <mergeCell ref="A85:D85"/>
    <mergeCell ref="A71:B71"/>
    <mergeCell ref="A72:B72"/>
    <mergeCell ref="B78:E78"/>
    <mergeCell ref="A79:B79"/>
    <mergeCell ref="A73:D73"/>
    <mergeCell ref="B68:E68"/>
    <mergeCell ref="A70:B70"/>
    <mergeCell ref="B69:E69"/>
    <mergeCell ref="A59:B59"/>
    <mergeCell ref="A60:B60"/>
    <mergeCell ref="A61:B61"/>
    <mergeCell ref="A62:B62"/>
    <mergeCell ref="A63:D63"/>
    <mergeCell ref="A66:D66"/>
    <mergeCell ref="A67:B67"/>
    <mergeCell ref="A65:D65"/>
    <mergeCell ref="A64:D64"/>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E760"/>
  <sheetViews>
    <sheetView view="pageBreakPreview" zoomScale="90" zoomScaleNormal="95" zoomScaleSheetLayoutView="90" workbookViewId="0">
      <selection activeCell="F16" sqref="F16"/>
    </sheetView>
  </sheetViews>
  <sheetFormatPr defaultColWidth="9" defaultRowHeight="12.75" x14ac:dyDescent="0.2"/>
  <cols>
    <col min="1" max="1" width="16.25" style="31" customWidth="1"/>
    <col min="2" max="2" width="17.125" style="31" customWidth="1"/>
    <col min="3" max="3" width="19.5" style="31" customWidth="1"/>
    <col min="4" max="4" width="21.625" style="31" customWidth="1"/>
    <col min="5" max="5" width="18" style="38" customWidth="1"/>
    <col min="6" max="16384" width="9" style="29"/>
  </cols>
  <sheetData>
    <row r="1" spans="1:5" x14ac:dyDescent="0.2">
      <c r="A1" s="26"/>
      <c r="B1" s="27"/>
      <c r="C1" s="27"/>
      <c r="D1" s="27"/>
      <c r="E1" s="28"/>
    </row>
    <row r="2" spans="1:5" x14ac:dyDescent="0.2">
      <c r="A2" s="30"/>
      <c r="E2" s="32"/>
    </row>
    <row r="3" spans="1:5" x14ac:dyDescent="0.2">
      <c r="A3" s="30"/>
      <c r="E3" s="32"/>
    </row>
    <row r="4" spans="1:5" x14ac:dyDescent="0.2">
      <c r="A4" s="30"/>
      <c r="E4" s="32"/>
    </row>
    <row r="5" spans="1:5" x14ac:dyDescent="0.2">
      <c r="A5" s="34"/>
      <c r="B5" s="34"/>
      <c r="C5" s="35"/>
      <c r="D5" s="35"/>
      <c r="E5" s="54"/>
    </row>
    <row r="6" spans="1:5" x14ac:dyDescent="0.2">
      <c r="A6" s="34" t="s">
        <v>820</v>
      </c>
      <c r="B6" s="34"/>
      <c r="C6" s="35"/>
      <c r="D6" s="35"/>
      <c r="E6" s="54"/>
    </row>
    <row r="7" spans="1:5" x14ac:dyDescent="0.2">
      <c r="A7" s="34" t="s">
        <v>2</v>
      </c>
      <c r="B7" s="34"/>
      <c r="C7" s="35"/>
      <c r="D7" s="35"/>
      <c r="E7" s="54"/>
    </row>
    <row r="8" spans="1:5" x14ac:dyDescent="0.2">
      <c r="A8" s="34" t="s">
        <v>8</v>
      </c>
      <c r="B8" s="34"/>
      <c r="C8" s="35"/>
      <c r="D8" s="35"/>
      <c r="E8" s="54"/>
    </row>
    <row r="9" spans="1:5" x14ac:dyDescent="0.2">
      <c r="A9" s="33" t="s">
        <v>1348</v>
      </c>
      <c r="B9" s="34"/>
      <c r="C9" s="35"/>
      <c r="D9" s="35"/>
      <c r="E9" s="54"/>
    </row>
    <row r="10" spans="1:5" ht="13.5" thickBot="1" x14ac:dyDescent="0.25">
      <c r="A10" s="55"/>
      <c r="B10" s="55"/>
      <c r="C10" s="55"/>
      <c r="D10" s="55"/>
      <c r="E10" s="55"/>
    </row>
    <row r="11" spans="1:5" s="39" customFormat="1" ht="21" customHeight="1" thickBot="1" x14ac:dyDescent="0.25">
      <c r="A11" s="250" t="s">
        <v>1349</v>
      </c>
      <c r="B11" s="251"/>
      <c r="C11" s="251"/>
      <c r="D11" s="251"/>
      <c r="E11" s="252"/>
    </row>
    <row r="12" spans="1:5" x14ac:dyDescent="0.2">
      <c r="A12" s="30"/>
      <c r="E12" s="32"/>
    </row>
    <row r="13" spans="1:5" ht="17.25" customHeight="1" x14ac:dyDescent="0.2">
      <c r="A13" s="40" t="s">
        <v>825</v>
      </c>
      <c r="B13" s="234" t="s">
        <v>25</v>
      </c>
      <c r="C13" s="234"/>
      <c r="D13" s="234"/>
      <c r="E13" s="234"/>
    </row>
    <row r="14" spans="1:5" s="39" customFormat="1" ht="18.75" customHeight="1" x14ac:dyDescent="0.2">
      <c r="A14" s="41" t="s">
        <v>826</v>
      </c>
      <c r="B14" s="253" t="s">
        <v>27</v>
      </c>
      <c r="C14" s="254"/>
      <c r="D14" s="254"/>
      <c r="E14" s="255"/>
    </row>
    <row r="15" spans="1:5" ht="15" customHeight="1" x14ac:dyDescent="0.2">
      <c r="A15" s="256" t="s">
        <v>828</v>
      </c>
      <c r="B15" s="256"/>
      <c r="C15" s="256"/>
      <c r="D15" s="228"/>
      <c r="E15" s="46">
        <v>21</v>
      </c>
    </row>
    <row r="16" spans="1:5" ht="15" customHeight="1" x14ac:dyDescent="0.2">
      <c r="A16" s="256" t="s">
        <v>829</v>
      </c>
      <c r="B16" s="256"/>
      <c r="C16" s="256"/>
      <c r="D16" s="228"/>
      <c r="E16" s="46">
        <v>21</v>
      </c>
    </row>
    <row r="17" spans="1:5" ht="15" customHeight="1" x14ac:dyDescent="0.2">
      <c r="A17" s="256" t="s">
        <v>1350</v>
      </c>
      <c r="B17" s="256"/>
      <c r="C17" s="256"/>
      <c r="D17" s="228"/>
      <c r="E17" s="46">
        <v>19</v>
      </c>
    </row>
    <row r="18" spans="1:5" ht="15" customHeight="1" x14ac:dyDescent="0.2">
      <c r="A18" s="257" t="s">
        <v>1351</v>
      </c>
      <c r="B18" s="257"/>
      <c r="C18" s="257"/>
      <c r="D18" s="241"/>
      <c r="E18" s="60">
        <v>1</v>
      </c>
    </row>
    <row r="19" spans="1:5" ht="15" customHeight="1" x14ac:dyDescent="0.2">
      <c r="A19" s="124"/>
      <c r="B19" s="125"/>
      <c r="C19" s="125"/>
      <c r="D19" s="125"/>
      <c r="E19" s="126"/>
    </row>
    <row r="20" spans="1:5" ht="17.25" customHeight="1" x14ac:dyDescent="0.2">
      <c r="A20" s="40" t="s">
        <v>827</v>
      </c>
      <c r="B20" s="234" t="s">
        <v>133</v>
      </c>
      <c r="C20" s="234"/>
      <c r="D20" s="234"/>
      <c r="E20" s="234"/>
    </row>
    <row r="21" spans="1:5" s="39" customFormat="1" ht="40.5" customHeight="1" x14ac:dyDescent="0.2">
      <c r="A21" s="41" t="s">
        <v>1092</v>
      </c>
      <c r="B21" s="235" t="s">
        <v>137</v>
      </c>
      <c r="C21" s="235"/>
      <c r="D21" s="235"/>
      <c r="E21" s="235"/>
    </row>
    <row r="22" spans="1:5" ht="14.25" customHeight="1" x14ac:dyDescent="0.2">
      <c r="A22" s="228" t="s">
        <v>1093</v>
      </c>
      <c r="B22" s="229"/>
      <c r="C22" s="229"/>
      <c r="D22" s="229"/>
      <c r="E22" s="58">
        <v>1613.5165999999999</v>
      </c>
    </row>
    <row r="23" spans="1:5" ht="14.25" customHeight="1" x14ac:dyDescent="0.2">
      <c r="A23" s="228" t="s">
        <v>1094</v>
      </c>
      <c r="B23" s="229"/>
      <c r="C23" s="229"/>
      <c r="D23" s="229"/>
      <c r="E23" s="58">
        <v>1582.23</v>
      </c>
    </row>
    <row r="24" spans="1:5" ht="14.25" customHeight="1" x14ac:dyDescent="0.2">
      <c r="A24" s="230" t="s">
        <v>1363</v>
      </c>
      <c r="B24" s="231"/>
      <c r="C24" s="231"/>
      <c r="D24" s="231"/>
      <c r="E24" s="65">
        <v>1265.8599999999999</v>
      </c>
    </row>
    <row r="25" spans="1:5" ht="14.25" customHeight="1" x14ac:dyDescent="0.2">
      <c r="A25" s="241" t="s">
        <v>1364</v>
      </c>
      <c r="B25" s="242"/>
      <c r="C25" s="242"/>
      <c r="D25" s="242"/>
      <c r="E25" s="59">
        <v>316.37000000000012</v>
      </c>
    </row>
    <row r="26" spans="1:5" ht="14.25" customHeight="1" x14ac:dyDescent="0.2">
      <c r="A26" s="243" t="s">
        <v>1365</v>
      </c>
      <c r="B26" s="244"/>
      <c r="C26" s="244"/>
      <c r="D26" s="244"/>
      <c r="E26" s="87">
        <v>-31.286599999999908</v>
      </c>
    </row>
    <row r="27" spans="1:5" x14ac:dyDescent="0.2">
      <c r="A27" s="56"/>
      <c r="B27" s="85"/>
      <c r="C27" s="85"/>
      <c r="E27" s="57"/>
    </row>
    <row r="28" spans="1:5" s="39" customFormat="1" ht="32.25" customHeight="1" x14ac:dyDescent="0.2">
      <c r="A28" s="41" t="s">
        <v>1140</v>
      </c>
      <c r="B28" s="235" t="s">
        <v>139</v>
      </c>
      <c r="C28" s="235"/>
      <c r="D28" s="235"/>
      <c r="E28" s="235"/>
    </row>
    <row r="29" spans="1:5" ht="14.25" customHeight="1" x14ac:dyDescent="0.2">
      <c r="A29" s="228" t="s">
        <v>1141</v>
      </c>
      <c r="B29" s="229"/>
      <c r="C29" s="229"/>
      <c r="D29" s="229"/>
      <c r="E29" s="58">
        <v>45.50200000000001</v>
      </c>
    </row>
    <row r="30" spans="1:5" ht="14.25" customHeight="1" x14ac:dyDescent="0.2">
      <c r="A30" s="228" t="s">
        <v>1144</v>
      </c>
      <c r="B30" s="229"/>
      <c r="C30" s="229"/>
      <c r="D30" s="229"/>
      <c r="E30" s="58">
        <v>69.7</v>
      </c>
    </row>
    <row r="31" spans="1:5" ht="14.25" customHeight="1" x14ac:dyDescent="0.2">
      <c r="A31" s="230" t="s">
        <v>1377</v>
      </c>
      <c r="B31" s="231"/>
      <c r="C31" s="231"/>
      <c r="D31" s="231"/>
      <c r="E31" s="65">
        <v>30</v>
      </c>
    </row>
    <row r="32" spans="1:5" ht="14.25" customHeight="1" x14ac:dyDescent="0.2">
      <c r="A32" s="241" t="s">
        <v>1378</v>
      </c>
      <c r="B32" s="242"/>
      <c r="C32" s="242"/>
      <c r="D32" s="242"/>
      <c r="E32" s="59">
        <v>15.50200000000001</v>
      </c>
    </row>
    <row r="33" spans="1:5" x14ac:dyDescent="0.2">
      <c r="A33" s="56"/>
      <c r="B33" s="85"/>
      <c r="C33" s="85"/>
      <c r="E33" s="57"/>
    </row>
    <row r="34" spans="1:5" s="39" customFormat="1" ht="32.25" customHeight="1" x14ac:dyDescent="0.2">
      <c r="A34" s="41" t="s">
        <v>1142</v>
      </c>
      <c r="B34" s="235" t="s">
        <v>143</v>
      </c>
      <c r="C34" s="235"/>
      <c r="D34" s="235"/>
      <c r="E34" s="235"/>
    </row>
    <row r="35" spans="1:5" ht="14.25" customHeight="1" x14ac:dyDescent="0.2">
      <c r="A35" s="228" t="s">
        <v>1143</v>
      </c>
      <c r="B35" s="229"/>
      <c r="C35" s="229"/>
      <c r="D35" s="229"/>
      <c r="E35" s="58">
        <v>123.52720000000001</v>
      </c>
    </row>
    <row r="36" spans="1:5" ht="14.25" customHeight="1" x14ac:dyDescent="0.2">
      <c r="A36" s="228" t="s">
        <v>1145</v>
      </c>
      <c r="B36" s="229"/>
      <c r="C36" s="229"/>
      <c r="D36" s="229"/>
      <c r="E36" s="58">
        <v>182.58</v>
      </c>
    </row>
    <row r="37" spans="1:5" ht="14.25" customHeight="1" x14ac:dyDescent="0.2">
      <c r="A37" s="230" t="s">
        <v>1375</v>
      </c>
      <c r="B37" s="231"/>
      <c r="C37" s="231"/>
      <c r="D37" s="231"/>
      <c r="E37" s="65">
        <v>75</v>
      </c>
    </row>
    <row r="38" spans="1:5" ht="14.25" customHeight="1" x14ac:dyDescent="0.2">
      <c r="A38" s="241" t="s">
        <v>1376</v>
      </c>
      <c r="B38" s="242"/>
      <c r="C38" s="242"/>
      <c r="D38" s="242"/>
      <c r="E38" s="59">
        <v>48.527200000000008</v>
      </c>
    </row>
    <row r="39" spans="1:5" x14ac:dyDescent="0.2">
      <c r="A39" s="56"/>
      <c r="B39" s="85"/>
      <c r="C39" s="85"/>
      <c r="E39" s="57"/>
    </row>
    <row r="40" spans="1:5" ht="17.25" customHeight="1" x14ac:dyDescent="0.2">
      <c r="A40" s="40" t="s">
        <v>1043</v>
      </c>
      <c r="B40" s="234" t="s">
        <v>145</v>
      </c>
      <c r="C40" s="234"/>
      <c r="D40" s="234"/>
      <c r="E40" s="234"/>
    </row>
    <row r="41" spans="1:5" s="39" customFormat="1" ht="30" customHeight="1" x14ac:dyDescent="0.2">
      <c r="A41" s="41" t="s">
        <v>1044</v>
      </c>
      <c r="B41" s="235" t="s">
        <v>147</v>
      </c>
      <c r="C41" s="235"/>
      <c r="D41" s="235"/>
      <c r="E41" s="235"/>
    </row>
    <row r="42" spans="1:5" ht="14.25" customHeight="1" x14ac:dyDescent="0.2">
      <c r="A42" s="228" t="s">
        <v>1045</v>
      </c>
      <c r="B42" s="229"/>
      <c r="C42" s="229"/>
      <c r="D42" s="229"/>
      <c r="E42" s="58">
        <v>942.37</v>
      </c>
    </row>
    <row r="43" spans="1:5" ht="14.25" customHeight="1" x14ac:dyDescent="0.2">
      <c r="A43" s="228" t="s">
        <v>1046</v>
      </c>
      <c r="B43" s="229"/>
      <c r="C43" s="229"/>
      <c r="D43" s="229"/>
      <c r="E43" s="58">
        <v>942.37</v>
      </c>
    </row>
    <row r="44" spans="1:5" ht="14.25" customHeight="1" x14ac:dyDescent="0.2">
      <c r="A44" s="230" t="s">
        <v>1946</v>
      </c>
      <c r="B44" s="231"/>
      <c r="C44" s="231"/>
      <c r="D44" s="231"/>
      <c r="E44" s="65">
        <v>753.89</v>
      </c>
    </row>
    <row r="45" spans="1:5" ht="14.25" customHeight="1" x14ac:dyDescent="0.2">
      <c r="A45" s="241" t="s">
        <v>1945</v>
      </c>
      <c r="B45" s="242"/>
      <c r="C45" s="242"/>
      <c r="D45" s="242"/>
      <c r="E45" s="59">
        <v>188.48000000000002</v>
      </c>
    </row>
    <row r="46" spans="1:5" x14ac:dyDescent="0.2">
      <c r="A46" s="56"/>
      <c r="B46" s="85"/>
      <c r="C46" s="85"/>
      <c r="E46" s="57"/>
    </row>
    <row r="47" spans="1:5" s="39" customFormat="1" ht="30" customHeight="1" x14ac:dyDescent="0.2">
      <c r="A47" s="41" t="s">
        <v>1939</v>
      </c>
      <c r="B47" s="235" t="s">
        <v>149</v>
      </c>
      <c r="C47" s="235"/>
      <c r="D47" s="235"/>
      <c r="E47" s="235"/>
    </row>
    <row r="48" spans="1:5" ht="14.25" customHeight="1" x14ac:dyDescent="0.2">
      <c r="A48" s="228" t="s">
        <v>1045</v>
      </c>
      <c r="B48" s="229"/>
      <c r="C48" s="229"/>
      <c r="D48" s="229"/>
      <c r="E48" s="58">
        <v>310</v>
      </c>
    </row>
    <row r="49" spans="1:5" ht="14.25" customHeight="1" x14ac:dyDescent="0.2">
      <c r="A49" s="228" t="s">
        <v>1046</v>
      </c>
      <c r="B49" s="229"/>
      <c r="C49" s="229"/>
      <c r="D49" s="229"/>
      <c r="E49" s="58">
        <v>844.5</v>
      </c>
    </row>
    <row r="50" spans="1:5" ht="14.25" customHeight="1" x14ac:dyDescent="0.2">
      <c r="A50" s="230" t="s">
        <v>1946</v>
      </c>
      <c r="B50" s="231"/>
      <c r="C50" s="231"/>
      <c r="D50" s="231"/>
      <c r="E50" s="65">
        <v>0</v>
      </c>
    </row>
    <row r="51" spans="1:5" ht="14.25" customHeight="1" x14ac:dyDescent="0.2">
      <c r="A51" s="241" t="s">
        <v>1945</v>
      </c>
      <c r="B51" s="242"/>
      <c r="C51" s="242"/>
      <c r="D51" s="242"/>
      <c r="E51" s="59">
        <v>310</v>
      </c>
    </row>
    <row r="52" spans="1:5" x14ac:dyDescent="0.2">
      <c r="A52" s="56"/>
      <c r="B52" s="85"/>
      <c r="C52" s="85"/>
      <c r="E52" s="57"/>
    </row>
    <row r="53" spans="1:5" ht="17.25" customHeight="1" x14ac:dyDescent="0.2">
      <c r="A53" s="40" t="s">
        <v>1013</v>
      </c>
      <c r="B53" s="234" t="s">
        <v>153</v>
      </c>
      <c r="C53" s="234"/>
      <c r="D53" s="234"/>
      <c r="E53" s="234"/>
    </row>
    <row r="54" spans="1:5" ht="4.5" customHeight="1" x14ac:dyDescent="0.2">
      <c r="A54" s="56"/>
      <c r="B54" s="85"/>
      <c r="C54" s="85"/>
      <c r="E54" s="57"/>
    </row>
    <row r="55" spans="1:5" ht="17.25" customHeight="1" x14ac:dyDescent="0.2">
      <c r="A55" s="106" t="s">
        <v>1014</v>
      </c>
      <c r="B55" s="258" t="s">
        <v>155</v>
      </c>
      <c r="C55" s="259"/>
      <c r="D55" s="259"/>
      <c r="E55" s="260"/>
    </row>
    <row r="56" spans="1:5" s="39" customFormat="1" ht="24.75" customHeight="1" x14ac:dyDescent="0.2">
      <c r="A56" s="41" t="s">
        <v>1015</v>
      </c>
      <c r="B56" s="235" t="s">
        <v>171</v>
      </c>
      <c r="C56" s="235"/>
      <c r="D56" s="235"/>
      <c r="E56" s="235"/>
    </row>
    <row r="57" spans="1:5" ht="14.25" customHeight="1" x14ac:dyDescent="0.2">
      <c r="A57" s="228" t="s">
        <v>1394</v>
      </c>
      <c r="B57" s="229"/>
      <c r="C57" s="229"/>
      <c r="D57" s="229"/>
      <c r="E57" s="58">
        <v>59.58</v>
      </c>
    </row>
    <row r="58" spans="1:5" ht="14.25" customHeight="1" x14ac:dyDescent="0.2">
      <c r="A58" s="228" t="s">
        <v>1395</v>
      </c>
      <c r="B58" s="229"/>
      <c r="C58" s="229"/>
      <c r="D58" s="229"/>
      <c r="E58" s="58">
        <v>59.58</v>
      </c>
    </row>
    <row r="59" spans="1:5" ht="14.25" customHeight="1" x14ac:dyDescent="0.2">
      <c r="A59" s="230" t="s">
        <v>1396</v>
      </c>
      <c r="B59" s="231"/>
      <c r="C59" s="231"/>
      <c r="D59" s="231"/>
      <c r="E59" s="65">
        <v>20</v>
      </c>
    </row>
    <row r="60" spans="1:5" ht="14.25" customHeight="1" x14ac:dyDescent="0.2">
      <c r="A60" s="241" t="s">
        <v>1397</v>
      </c>
      <c r="B60" s="242"/>
      <c r="C60" s="242"/>
      <c r="D60" s="242"/>
      <c r="E60" s="59">
        <v>39.58</v>
      </c>
    </row>
    <row r="61" spans="1:5" x14ac:dyDescent="0.2">
      <c r="A61" s="56"/>
      <c r="B61" s="85"/>
      <c r="C61" s="85"/>
      <c r="E61" s="57"/>
    </row>
    <row r="62" spans="1:5" ht="17.25" customHeight="1" x14ac:dyDescent="0.2">
      <c r="A62" s="106" t="s">
        <v>1047</v>
      </c>
      <c r="B62" s="258" t="s">
        <v>174</v>
      </c>
      <c r="C62" s="259"/>
      <c r="D62" s="259"/>
      <c r="E62" s="260"/>
    </row>
    <row r="63" spans="1:5" s="39" customFormat="1" ht="30" customHeight="1" x14ac:dyDescent="0.2">
      <c r="A63" s="41" t="s">
        <v>1293</v>
      </c>
      <c r="B63" s="235" t="s">
        <v>176</v>
      </c>
      <c r="C63" s="235"/>
      <c r="D63" s="235"/>
      <c r="E63" s="235"/>
    </row>
    <row r="64" spans="1:5" ht="14.25" customHeight="1" x14ac:dyDescent="0.2">
      <c r="A64" s="228" t="s">
        <v>1294</v>
      </c>
      <c r="B64" s="229"/>
      <c r="C64" s="229"/>
      <c r="D64" s="229"/>
      <c r="E64" s="58">
        <v>1284</v>
      </c>
    </row>
    <row r="65" spans="1:5" ht="14.25" customHeight="1" x14ac:dyDescent="0.2">
      <c r="A65" s="228" t="s">
        <v>1295</v>
      </c>
      <c r="B65" s="229"/>
      <c r="C65" s="229"/>
      <c r="D65" s="229"/>
      <c r="E65" s="58">
        <v>2383.16</v>
      </c>
    </row>
    <row r="66" spans="1:5" ht="14.25" customHeight="1" x14ac:dyDescent="0.2">
      <c r="A66" s="230" t="s">
        <v>1392</v>
      </c>
      <c r="B66" s="231"/>
      <c r="C66" s="231"/>
      <c r="D66" s="231"/>
      <c r="E66" s="65">
        <v>550</v>
      </c>
    </row>
    <row r="67" spans="1:5" ht="14.25" customHeight="1" x14ac:dyDescent="0.2">
      <c r="A67" s="241" t="s">
        <v>1393</v>
      </c>
      <c r="B67" s="242"/>
      <c r="C67" s="242"/>
      <c r="D67" s="242"/>
      <c r="E67" s="59">
        <v>734</v>
      </c>
    </row>
    <row r="68" spans="1:5" ht="14.25" customHeight="1" x14ac:dyDescent="0.2">
      <c r="A68" s="135"/>
      <c r="B68" s="136"/>
      <c r="C68" s="136"/>
      <c r="D68" s="136"/>
      <c r="E68" s="137"/>
    </row>
    <row r="69" spans="1:5" ht="17.25" customHeight="1" x14ac:dyDescent="0.2">
      <c r="A69" s="40" t="s">
        <v>871</v>
      </c>
      <c r="B69" s="234" t="s">
        <v>182</v>
      </c>
      <c r="C69" s="234"/>
      <c r="D69" s="234"/>
      <c r="E69" s="234"/>
    </row>
    <row r="70" spans="1:5" ht="17.25" customHeight="1" x14ac:dyDescent="0.2">
      <c r="A70" s="64" t="s">
        <v>872</v>
      </c>
      <c r="B70" s="236" t="s">
        <v>184</v>
      </c>
      <c r="C70" s="236"/>
      <c r="D70" s="236"/>
      <c r="E70" s="236"/>
    </row>
    <row r="71" spans="1:5" s="39" customFormat="1" ht="21" hidden="1" customHeight="1" x14ac:dyDescent="0.2">
      <c r="A71" s="41" t="s">
        <v>1146</v>
      </c>
      <c r="B71" s="235" t="s">
        <v>192</v>
      </c>
      <c r="C71" s="235"/>
      <c r="D71" s="235"/>
      <c r="E71" s="235"/>
    </row>
    <row r="72" spans="1:5" ht="14.25" hidden="1" customHeight="1" x14ac:dyDescent="0.2">
      <c r="A72" s="228" t="s">
        <v>1147</v>
      </c>
      <c r="B72" s="229"/>
      <c r="C72" s="229"/>
      <c r="D72" s="229"/>
      <c r="E72" s="58">
        <v>1300</v>
      </c>
    </row>
    <row r="73" spans="1:5" ht="14.25" hidden="1" customHeight="1" x14ac:dyDescent="0.2">
      <c r="A73" s="228" t="s">
        <v>1148</v>
      </c>
      <c r="B73" s="229"/>
      <c r="C73" s="229"/>
      <c r="D73" s="229"/>
      <c r="E73" s="58">
        <v>1986.29</v>
      </c>
    </row>
    <row r="74" spans="1:5" ht="14.25" hidden="1" customHeight="1" x14ac:dyDescent="0.2">
      <c r="A74" s="230" t="s">
        <v>1404</v>
      </c>
      <c r="B74" s="231"/>
      <c r="C74" s="231"/>
      <c r="D74" s="231"/>
      <c r="E74" s="65">
        <v>950</v>
      </c>
    </row>
    <row r="75" spans="1:5" ht="14.25" hidden="1" customHeight="1" x14ac:dyDescent="0.2">
      <c r="A75" s="241" t="s">
        <v>1405</v>
      </c>
      <c r="B75" s="242"/>
      <c r="C75" s="242"/>
      <c r="D75" s="242"/>
      <c r="E75" s="59">
        <v>350</v>
      </c>
    </row>
    <row r="76" spans="1:5" hidden="1" x14ac:dyDescent="0.2">
      <c r="A76" s="56"/>
      <c r="B76" s="85"/>
      <c r="C76" s="85"/>
      <c r="E76" s="57"/>
    </row>
    <row r="77" spans="1:5" s="39" customFormat="1" ht="40.5" customHeight="1" x14ac:dyDescent="0.2">
      <c r="A77" s="41" t="s">
        <v>1298</v>
      </c>
      <c r="B77" s="235" t="s">
        <v>1220</v>
      </c>
      <c r="C77" s="235"/>
      <c r="D77" s="235"/>
      <c r="E77" s="235"/>
    </row>
    <row r="78" spans="1:5" ht="14.25" customHeight="1" x14ac:dyDescent="0.2">
      <c r="A78" s="237" t="s">
        <v>1401</v>
      </c>
      <c r="B78" s="238"/>
      <c r="C78" s="238"/>
      <c r="D78" s="238"/>
      <c r="E78" s="58">
        <v>818.82999999999993</v>
      </c>
    </row>
    <row r="79" spans="1:5" ht="14.25" customHeight="1" x14ac:dyDescent="0.2">
      <c r="A79" s="237" t="s">
        <v>1299</v>
      </c>
      <c r="B79" s="238"/>
      <c r="C79" s="238"/>
      <c r="D79" s="238"/>
      <c r="E79" s="58">
        <v>818.83</v>
      </c>
    </row>
    <row r="80" spans="1:5" ht="14.25" customHeight="1" x14ac:dyDescent="0.2">
      <c r="A80" s="237" t="s">
        <v>1402</v>
      </c>
      <c r="B80" s="238"/>
      <c r="C80" s="238"/>
      <c r="D80" s="238"/>
      <c r="E80" s="58">
        <v>0</v>
      </c>
    </row>
    <row r="81" spans="1:5" ht="14.25" customHeight="1" x14ac:dyDescent="0.2">
      <c r="A81" s="239" t="s">
        <v>1403</v>
      </c>
      <c r="B81" s="240"/>
      <c r="C81" s="240"/>
      <c r="D81" s="240"/>
      <c r="E81" s="59">
        <v>818.82999999999993</v>
      </c>
    </row>
    <row r="82" spans="1:5" x14ac:dyDescent="0.2">
      <c r="A82" s="56"/>
      <c r="B82" s="85"/>
      <c r="C82" s="85"/>
      <c r="E82" s="57"/>
    </row>
    <row r="83" spans="1:5" ht="17.25" customHeight="1" x14ac:dyDescent="0.2">
      <c r="A83" s="64" t="s">
        <v>913</v>
      </c>
      <c r="B83" s="236" t="s">
        <v>194</v>
      </c>
      <c r="C83" s="236"/>
      <c r="D83" s="236"/>
      <c r="E83" s="236"/>
    </row>
    <row r="84" spans="1:5" s="39" customFormat="1" ht="42.75" customHeight="1" x14ac:dyDescent="0.2">
      <c r="A84" s="41" t="s">
        <v>914</v>
      </c>
      <c r="B84" s="235" t="s">
        <v>196</v>
      </c>
      <c r="C84" s="235"/>
      <c r="D84" s="235"/>
      <c r="E84" s="235"/>
    </row>
    <row r="85" spans="1:5" ht="14.25" customHeight="1" x14ac:dyDescent="0.2">
      <c r="A85" s="228" t="s">
        <v>921</v>
      </c>
      <c r="B85" s="229"/>
      <c r="C85" s="229"/>
      <c r="D85" s="229"/>
      <c r="E85" s="58">
        <v>3618.8665000000001</v>
      </c>
    </row>
    <row r="86" spans="1:5" ht="14.25" customHeight="1" x14ac:dyDescent="0.2">
      <c r="A86" s="228" t="s">
        <v>922</v>
      </c>
      <c r="B86" s="229"/>
      <c r="C86" s="229"/>
      <c r="D86" s="229"/>
      <c r="E86" s="58">
        <v>3618.87</v>
      </c>
    </row>
    <row r="87" spans="1:5" ht="14.25" customHeight="1" x14ac:dyDescent="0.2">
      <c r="A87" s="230" t="s">
        <v>1411</v>
      </c>
      <c r="B87" s="231"/>
      <c r="C87" s="231"/>
      <c r="D87" s="231"/>
      <c r="E87" s="65">
        <v>3121.87</v>
      </c>
    </row>
    <row r="88" spans="1:5" ht="14.25" customHeight="1" x14ac:dyDescent="0.2">
      <c r="A88" s="241" t="s">
        <v>1412</v>
      </c>
      <c r="B88" s="242"/>
      <c r="C88" s="242"/>
      <c r="D88" s="242"/>
      <c r="E88" s="59">
        <v>497</v>
      </c>
    </row>
    <row r="89" spans="1:5" x14ac:dyDescent="0.2">
      <c r="A89" s="61"/>
      <c r="B89" s="42"/>
      <c r="C89" s="42"/>
      <c r="D89" s="42"/>
      <c r="E89" s="62"/>
    </row>
    <row r="90" spans="1:5" s="39" customFormat="1" ht="42.75" customHeight="1" x14ac:dyDescent="0.2">
      <c r="A90" s="41" t="s">
        <v>915</v>
      </c>
      <c r="B90" s="235" t="s">
        <v>198</v>
      </c>
      <c r="C90" s="235"/>
      <c r="D90" s="235"/>
      <c r="E90" s="235"/>
    </row>
    <row r="91" spans="1:5" ht="14.25" customHeight="1" x14ac:dyDescent="0.2">
      <c r="A91" s="228" t="s">
        <v>873</v>
      </c>
      <c r="B91" s="229"/>
      <c r="C91" s="229"/>
      <c r="D91" s="229"/>
      <c r="E91" s="58">
        <v>3618.8665000000001</v>
      </c>
    </row>
    <row r="92" spans="1:5" ht="14.25" customHeight="1" x14ac:dyDescent="0.2">
      <c r="A92" s="228" t="s">
        <v>874</v>
      </c>
      <c r="B92" s="229"/>
      <c r="C92" s="229"/>
      <c r="D92" s="229"/>
      <c r="E92" s="58">
        <v>3618.87</v>
      </c>
    </row>
    <row r="93" spans="1:5" ht="14.25" customHeight="1" x14ac:dyDescent="0.2">
      <c r="A93" s="230" t="s">
        <v>1413</v>
      </c>
      <c r="B93" s="231"/>
      <c r="C93" s="231"/>
      <c r="D93" s="231"/>
      <c r="E93" s="65">
        <v>3121.87</v>
      </c>
    </row>
    <row r="94" spans="1:5" ht="14.25" customHeight="1" x14ac:dyDescent="0.2">
      <c r="A94" s="241" t="s">
        <v>1414</v>
      </c>
      <c r="B94" s="242"/>
      <c r="C94" s="242"/>
      <c r="D94" s="242"/>
      <c r="E94" s="59">
        <v>497</v>
      </c>
    </row>
    <row r="95" spans="1:5" x14ac:dyDescent="0.2">
      <c r="A95" s="61"/>
      <c r="B95" s="42"/>
      <c r="C95" s="42"/>
      <c r="D95" s="42"/>
      <c r="E95" s="62"/>
    </row>
    <row r="96" spans="1:5" ht="17.25" customHeight="1" x14ac:dyDescent="0.2">
      <c r="A96" s="64" t="s">
        <v>1048</v>
      </c>
      <c r="B96" s="236" t="s">
        <v>200</v>
      </c>
      <c r="C96" s="236"/>
      <c r="D96" s="236"/>
      <c r="E96" s="236"/>
    </row>
    <row r="97" spans="1:5" s="39" customFormat="1" ht="26.25" customHeight="1" x14ac:dyDescent="0.2">
      <c r="A97" s="41" t="s">
        <v>1049</v>
      </c>
      <c r="B97" s="235" t="s">
        <v>202</v>
      </c>
      <c r="C97" s="235"/>
      <c r="D97" s="235"/>
      <c r="E97" s="235"/>
    </row>
    <row r="98" spans="1:5" ht="14.25" customHeight="1" x14ac:dyDescent="0.2">
      <c r="A98" s="228" t="s">
        <v>1050</v>
      </c>
      <c r="B98" s="229"/>
      <c r="C98" s="229"/>
      <c r="D98" s="229"/>
      <c r="E98" s="58">
        <v>1613.5165999999999</v>
      </c>
    </row>
    <row r="99" spans="1:5" ht="14.25" customHeight="1" x14ac:dyDescent="0.2">
      <c r="A99" s="228" t="s">
        <v>1051</v>
      </c>
      <c r="B99" s="229"/>
      <c r="C99" s="229"/>
      <c r="D99" s="229"/>
      <c r="E99" s="58">
        <v>921.15</v>
      </c>
    </row>
    <row r="100" spans="1:5" ht="14.25" customHeight="1" x14ac:dyDescent="0.2">
      <c r="A100" s="230" t="s">
        <v>1415</v>
      </c>
      <c r="B100" s="231"/>
      <c r="C100" s="231"/>
      <c r="D100" s="231"/>
      <c r="E100" s="65">
        <v>710.58</v>
      </c>
    </row>
    <row r="101" spans="1:5" ht="14.25" customHeight="1" x14ac:dyDescent="0.2">
      <c r="A101" s="241" t="s">
        <v>1416</v>
      </c>
      <c r="B101" s="242"/>
      <c r="C101" s="242"/>
      <c r="D101" s="242"/>
      <c r="E101" s="59">
        <v>1631.73</v>
      </c>
    </row>
    <row r="102" spans="1:5" ht="14.25" customHeight="1" x14ac:dyDescent="0.2">
      <c r="A102" s="243" t="s">
        <v>1423</v>
      </c>
      <c r="B102" s="244"/>
      <c r="C102" s="244"/>
      <c r="D102" s="244"/>
      <c r="E102" s="87">
        <v>-692.36659999999995</v>
      </c>
    </row>
    <row r="103" spans="1:5" x14ac:dyDescent="0.2">
      <c r="A103" s="61"/>
      <c r="B103" s="42"/>
      <c r="C103" s="42"/>
      <c r="D103" s="42"/>
      <c r="E103" s="62"/>
    </row>
    <row r="104" spans="1:5" ht="17.25" customHeight="1" x14ac:dyDescent="0.2">
      <c r="A104" s="40" t="s">
        <v>1034</v>
      </c>
      <c r="B104" s="234" t="s">
        <v>204</v>
      </c>
      <c r="C104" s="234"/>
      <c r="D104" s="234"/>
      <c r="E104" s="234"/>
    </row>
    <row r="105" spans="1:5" s="39" customFormat="1" ht="18.75" hidden="1" customHeight="1" x14ac:dyDescent="0.2">
      <c r="A105" s="64" t="s">
        <v>1035</v>
      </c>
      <c r="B105" s="236" t="s">
        <v>206</v>
      </c>
      <c r="C105" s="236"/>
      <c r="D105" s="236"/>
      <c r="E105" s="236"/>
    </row>
    <row r="106" spans="1:5" s="39" customFormat="1" ht="22.5" hidden="1" customHeight="1" x14ac:dyDescent="0.2">
      <c r="A106" s="41" t="s">
        <v>1036</v>
      </c>
      <c r="B106" s="235" t="s">
        <v>208</v>
      </c>
      <c r="C106" s="235"/>
      <c r="D106" s="235"/>
      <c r="E106" s="235"/>
    </row>
    <row r="107" spans="1:5" ht="14.25" hidden="1" customHeight="1" x14ac:dyDescent="0.2">
      <c r="A107" s="228" t="s">
        <v>1037</v>
      </c>
      <c r="B107" s="229"/>
      <c r="C107" s="229"/>
      <c r="D107" s="229"/>
      <c r="E107" s="58" t="e">
        <v>#REF!</v>
      </c>
    </row>
    <row r="108" spans="1:5" ht="14.25" hidden="1" customHeight="1" x14ac:dyDescent="0.2">
      <c r="A108" s="228" t="s">
        <v>1038</v>
      </c>
      <c r="B108" s="229"/>
      <c r="C108" s="229"/>
      <c r="D108" s="229"/>
      <c r="E108" s="58" t="e">
        <v>#REF!</v>
      </c>
    </row>
    <row r="109" spans="1:5" ht="14.25" hidden="1" customHeight="1" x14ac:dyDescent="0.2">
      <c r="A109" s="230" t="s">
        <v>1103</v>
      </c>
      <c r="B109" s="231"/>
      <c r="C109" s="231"/>
      <c r="D109" s="231"/>
      <c r="E109" s="65">
        <v>2819.48</v>
      </c>
    </row>
    <row r="110" spans="1:5" ht="14.25" hidden="1" customHeight="1" x14ac:dyDescent="0.2">
      <c r="A110" s="241" t="s">
        <v>1104</v>
      </c>
      <c r="B110" s="242"/>
      <c r="C110" s="242"/>
      <c r="D110" s="242"/>
      <c r="E110" s="59" t="e">
        <v>#REF!</v>
      </c>
    </row>
    <row r="111" spans="1:5" hidden="1" x14ac:dyDescent="0.2">
      <c r="A111" s="56"/>
      <c r="B111" s="85"/>
      <c r="C111" s="85"/>
      <c r="E111" s="57"/>
    </row>
    <row r="112" spans="1:5" s="39" customFormat="1" ht="27.75" hidden="1" customHeight="1" x14ac:dyDescent="0.2">
      <c r="A112" s="41" t="s">
        <v>1039</v>
      </c>
      <c r="B112" s="253" t="s">
        <v>210</v>
      </c>
      <c r="C112" s="254"/>
      <c r="D112" s="254"/>
      <c r="E112" s="255"/>
    </row>
    <row r="113" spans="1:5" ht="14.25" hidden="1" customHeight="1" x14ac:dyDescent="0.2">
      <c r="A113" s="261" t="s">
        <v>1040</v>
      </c>
      <c r="B113" s="262"/>
      <c r="C113" s="262"/>
      <c r="D113" s="262"/>
      <c r="E113" s="58" t="e">
        <v>#REF!</v>
      </c>
    </row>
    <row r="114" spans="1:5" ht="14.25" hidden="1" customHeight="1" x14ac:dyDescent="0.2">
      <c r="A114" s="228" t="s">
        <v>1041</v>
      </c>
      <c r="B114" s="229"/>
      <c r="C114" s="229"/>
      <c r="D114" s="229"/>
      <c r="E114" s="58">
        <v>3121.87</v>
      </c>
    </row>
    <row r="115" spans="1:5" ht="14.25" hidden="1" customHeight="1" x14ac:dyDescent="0.2">
      <c r="A115" s="230" t="s">
        <v>1107</v>
      </c>
      <c r="B115" s="231"/>
      <c r="C115" s="231"/>
      <c r="D115" s="231"/>
      <c r="E115" s="65">
        <v>2819.48</v>
      </c>
    </row>
    <row r="116" spans="1:5" ht="14.25" hidden="1" customHeight="1" x14ac:dyDescent="0.2">
      <c r="A116" s="241" t="s">
        <v>1108</v>
      </c>
      <c r="B116" s="242"/>
      <c r="C116" s="242"/>
      <c r="D116" s="242"/>
      <c r="E116" s="59" t="e">
        <v>#REF!</v>
      </c>
    </row>
    <row r="117" spans="1:5" hidden="1" x14ac:dyDescent="0.2">
      <c r="A117" s="56"/>
      <c r="B117" s="85"/>
      <c r="C117" s="85"/>
      <c r="E117" s="57"/>
    </row>
    <row r="118" spans="1:5" s="39" customFormat="1" ht="27.75" hidden="1" customHeight="1" x14ac:dyDescent="0.2">
      <c r="A118" s="41" t="s">
        <v>1105</v>
      </c>
      <c r="B118" s="253" t="s">
        <v>212</v>
      </c>
      <c r="C118" s="254"/>
      <c r="D118" s="254"/>
      <c r="E118" s="255"/>
    </row>
    <row r="119" spans="1:5" ht="14.25" hidden="1" customHeight="1" x14ac:dyDescent="0.2">
      <c r="A119" s="261" t="s">
        <v>1106</v>
      </c>
      <c r="B119" s="262"/>
      <c r="C119" s="262"/>
      <c r="D119" s="262"/>
      <c r="E119" s="58" t="e">
        <v>#REF!</v>
      </c>
    </row>
    <row r="120" spans="1:5" ht="14.25" hidden="1" customHeight="1" x14ac:dyDescent="0.2">
      <c r="A120" s="228" t="s">
        <v>1111</v>
      </c>
      <c r="B120" s="229"/>
      <c r="C120" s="229"/>
      <c r="D120" s="229"/>
      <c r="E120" s="58">
        <v>3121.87</v>
      </c>
    </row>
    <row r="121" spans="1:5" ht="14.25" hidden="1" customHeight="1" x14ac:dyDescent="0.2">
      <c r="A121" s="230" t="s">
        <v>1109</v>
      </c>
      <c r="B121" s="231"/>
      <c r="C121" s="231"/>
      <c r="D121" s="231"/>
      <c r="E121" s="65">
        <v>0</v>
      </c>
    </row>
    <row r="122" spans="1:5" ht="14.25" hidden="1" customHeight="1" x14ac:dyDescent="0.2">
      <c r="A122" s="241" t="s">
        <v>1110</v>
      </c>
      <c r="B122" s="242"/>
      <c r="C122" s="242"/>
      <c r="D122" s="242"/>
      <c r="E122" s="59" t="e">
        <v>#REF!</v>
      </c>
    </row>
    <row r="123" spans="1:5" hidden="1" x14ac:dyDescent="0.2">
      <c r="A123" s="56"/>
      <c r="B123" s="85"/>
      <c r="C123" s="85"/>
      <c r="E123" s="57"/>
    </row>
    <row r="124" spans="1:5" s="39" customFormat="1" ht="18.75" customHeight="1" x14ac:dyDescent="0.2">
      <c r="A124" s="64" t="s">
        <v>1112</v>
      </c>
      <c r="B124" s="236" t="s">
        <v>214</v>
      </c>
      <c r="C124" s="236"/>
      <c r="D124" s="236"/>
      <c r="E124" s="236"/>
    </row>
    <row r="125" spans="1:5" s="39" customFormat="1" ht="30" customHeight="1" x14ac:dyDescent="0.2">
      <c r="A125" s="41" t="s">
        <v>1113</v>
      </c>
      <c r="B125" s="235" t="s">
        <v>216</v>
      </c>
      <c r="C125" s="235"/>
      <c r="D125" s="235"/>
      <c r="E125" s="235"/>
    </row>
    <row r="126" spans="1:5" ht="14.25" customHeight="1" x14ac:dyDescent="0.2">
      <c r="A126" s="228" t="s">
        <v>1037</v>
      </c>
      <c r="B126" s="229"/>
      <c r="C126" s="229"/>
      <c r="D126" s="229"/>
      <c r="E126" s="58">
        <v>2662</v>
      </c>
    </row>
    <row r="127" spans="1:5" ht="14.25" customHeight="1" x14ac:dyDescent="0.2">
      <c r="A127" s="228" t="s">
        <v>1038</v>
      </c>
      <c r="B127" s="229"/>
      <c r="C127" s="229"/>
      <c r="D127" s="229"/>
      <c r="E127" s="58">
        <v>3121.87</v>
      </c>
    </row>
    <row r="128" spans="1:5" ht="14.25" customHeight="1" x14ac:dyDescent="0.2">
      <c r="A128" s="230" t="s">
        <v>1879</v>
      </c>
      <c r="B128" s="231"/>
      <c r="C128" s="231"/>
      <c r="D128" s="231"/>
      <c r="E128" s="65">
        <v>1560.6</v>
      </c>
    </row>
    <row r="129" spans="1:5" ht="14.25" customHeight="1" x14ac:dyDescent="0.2">
      <c r="A129" s="241" t="s">
        <v>1880</v>
      </c>
      <c r="B129" s="242"/>
      <c r="C129" s="242"/>
      <c r="D129" s="242"/>
      <c r="E129" s="59">
        <v>1101.4000000000001</v>
      </c>
    </row>
    <row r="130" spans="1:5" x14ac:dyDescent="0.2">
      <c r="A130" s="56"/>
      <c r="B130" s="85"/>
      <c r="C130" s="85"/>
      <c r="E130" s="57"/>
    </row>
    <row r="131" spans="1:5" s="39" customFormat="1" ht="27.75" customHeight="1" x14ac:dyDescent="0.2">
      <c r="A131" s="41" t="s">
        <v>1114</v>
      </c>
      <c r="B131" s="253" t="s">
        <v>218</v>
      </c>
      <c r="C131" s="254"/>
      <c r="D131" s="254"/>
      <c r="E131" s="255"/>
    </row>
    <row r="132" spans="1:5" ht="14.25" customHeight="1" x14ac:dyDescent="0.2">
      <c r="A132" s="261" t="s">
        <v>1040</v>
      </c>
      <c r="B132" s="262"/>
      <c r="C132" s="262"/>
      <c r="D132" s="262"/>
      <c r="E132" s="58">
        <v>2662</v>
      </c>
    </row>
    <row r="133" spans="1:5" ht="14.25" customHeight="1" x14ac:dyDescent="0.2">
      <c r="A133" s="228" t="s">
        <v>1041</v>
      </c>
      <c r="B133" s="229"/>
      <c r="C133" s="229"/>
      <c r="D133" s="229"/>
      <c r="E133" s="58">
        <v>3121.87</v>
      </c>
    </row>
    <row r="134" spans="1:5" ht="14.25" customHeight="1" x14ac:dyDescent="0.2">
      <c r="A134" s="230" t="s">
        <v>1811</v>
      </c>
      <c r="B134" s="231"/>
      <c r="C134" s="231"/>
      <c r="D134" s="231"/>
      <c r="E134" s="65">
        <v>1560.6</v>
      </c>
    </row>
    <row r="135" spans="1:5" ht="14.25" customHeight="1" x14ac:dyDescent="0.2">
      <c r="A135" s="241" t="s">
        <v>1881</v>
      </c>
      <c r="B135" s="242"/>
      <c r="C135" s="242"/>
      <c r="D135" s="242"/>
      <c r="E135" s="59">
        <v>1101.4000000000001</v>
      </c>
    </row>
    <row r="136" spans="1:5" x14ac:dyDescent="0.2">
      <c r="A136" s="56"/>
      <c r="B136" s="85"/>
      <c r="C136" s="85"/>
      <c r="E136" s="57"/>
    </row>
    <row r="137" spans="1:5" s="39" customFormat="1" ht="27.75" customHeight="1" x14ac:dyDescent="0.2">
      <c r="A137" s="41" t="s">
        <v>1115</v>
      </c>
      <c r="B137" s="253" t="s">
        <v>220</v>
      </c>
      <c r="C137" s="254"/>
      <c r="D137" s="254"/>
      <c r="E137" s="255"/>
    </row>
    <row r="138" spans="1:5" ht="14.25" customHeight="1" x14ac:dyDescent="0.2">
      <c r="A138" s="261" t="s">
        <v>1116</v>
      </c>
      <c r="B138" s="262"/>
      <c r="C138" s="262"/>
      <c r="D138" s="262"/>
      <c r="E138" s="58">
        <v>2662</v>
      </c>
    </row>
    <row r="139" spans="1:5" ht="14.25" customHeight="1" x14ac:dyDescent="0.2">
      <c r="A139" s="228" t="s">
        <v>1117</v>
      </c>
      <c r="B139" s="229"/>
      <c r="C139" s="229"/>
      <c r="D139" s="229"/>
      <c r="E139" s="58">
        <v>3121.87</v>
      </c>
    </row>
    <row r="140" spans="1:5" ht="14.25" customHeight="1" x14ac:dyDescent="0.2">
      <c r="A140" s="230" t="s">
        <v>1882</v>
      </c>
      <c r="B140" s="231"/>
      <c r="C140" s="231"/>
      <c r="D140" s="231"/>
      <c r="E140" s="65">
        <v>1560.6</v>
      </c>
    </row>
    <row r="141" spans="1:5" ht="14.25" customHeight="1" x14ac:dyDescent="0.2">
      <c r="A141" s="241" t="s">
        <v>1883</v>
      </c>
      <c r="B141" s="242"/>
      <c r="C141" s="242"/>
      <c r="D141" s="242"/>
      <c r="E141" s="59">
        <v>1101.4000000000001</v>
      </c>
    </row>
    <row r="142" spans="1:5" x14ac:dyDescent="0.2">
      <c r="A142" s="56"/>
      <c r="B142" s="85"/>
      <c r="C142" s="85"/>
      <c r="E142" s="57"/>
    </row>
    <row r="143" spans="1:5" ht="17.25" customHeight="1" x14ac:dyDescent="0.2">
      <c r="A143" s="40" t="s">
        <v>1052</v>
      </c>
      <c r="B143" s="234" t="s">
        <v>224</v>
      </c>
      <c r="C143" s="234"/>
      <c r="D143" s="234"/>
      <c r="E143" s="234"/>
    </row>
    <row r="144" spans="1:5" s="39" customFormat="1" ht="30" customHeight="1" x14ac:dyDescent="0.2">
      <c r="A144" s="41" t="s">
        <v>957</v>
      </c>
      <c r="B144" s="235" t="s">
        <v>226</v>
      </c>
      <c r="C144" s="235"/>
      <c r="D144" s="235"/>
      <c r="E144" s="235"/>
    </row>
    <row r="145" spans="1:5" ht="14.25" customHeight="1" x14ac:dyDescent="0.2">
      <c r="A145" s="228" t="s">
        <v>958</v>
      </c>
      <c r="B145" s="229"/>
      <c r="C145" s="229"/>
      <c r="D145" s="229"/>
      <c r="E145" s="58">
        <v>1182.67</v>
      </c>
    </row>
    <row r="146" spans="1:5" ht="14.25" customHeight="1" x14ac:dyDescent="0.2">
      <c r="A146" s="228" t="s">
        <v>959</v>
      </c>
      <c r="B146" s="229"/>
      <c r="C146" s="229"/>
      <c r="D146" s="229"/>
      <c r="E146" s="58">
        <v>1182.67</v>
      </c>
    </row>
    <row r="147" spans="1:5" ht="14.25" customHeight="1" x14ac:dyDescent="0.2">
      <c r="A147" s="230" t="s">
        <v>1436</v>
      </c>
      <c r="B147" s="231"/>
      <c r="C147" s="231"/>
      <c r="D147" s="231"/>
      <c r="E147" s="65">
        <v>1097.3699999999999</v>
      </c>
    </row>
    <row r="148" spans="1:5" ht="14.25" customHeight="1" x14ac:dyDescent="0.2">
      <c r="A148" s="241" t="s">
        <v>1437</v>
      </c>
      <c r="B148" s="242"/>
      <c r="C148" s="242"/>
      <c r="D148" s="242"/>
      <c r="E148" s="59">
        <v>85.300000000000182</v>
      </c>
    </row>
    <row r="149" spans="1:5" x14ac:dyDescent="0.2">
      <c r="A149" s="56"/>
      <c r="B149" s="85"/>
      <c r="C149" s="85"/>
      <c r="E149" s="57"/>
    </row>
    <row r="150" spans="1:5" s="39" customFormat="1" ht="40.5" customHeight="1" x14ac:dyDescent="0.2">
      <c r="A150" s="41" t="s">
        <v>1164</v>
      </c>
      <c r="B150" s="235" t="s">
        <v>234</v>
      </c>
      <c r="C150" s="235"/>
      <c r="D150" s="235"/>
      <c r="E150" s="235"/>
    </row>
    <row r="151" spans="1:5" ht="14.25" customHeight="1" x14ac:dyDescent="0.2">
      <c r="A151" s="228" t="s">
        <v>1165</v>
      </c>
      <c r="B151" s="229"/>
      <c r="C151" s="229"/>
      <c r="D151" s="229"/>
      <c r="E151" s="58">
        <v>47.1</v>
      </c>
    </row>
    <row r="152" spans="1:5" ht="14.25" customHeight="1" x14ac:dyDescent="0.2">
      <c r="A152" s="228" t="s">
        <v>1166</v>
      </c>
      <c r="B152" s="229"/>
      <c r="C152" s="229"/>
      <c r="D152" s="229"/>
      <c r="E152" s="58">
        <v>47.1</v>
      </c>
    </row>
    <row r="153" spans="1:5" ht="14.25" customHeight="1" x14ac:dyDescent="0.2">
      <c r="A153" s="230" t="s">
        <v>1446</v>
      </c>
      <c r="B153" s="231"/>
      <c r="C153" s="231"/>
      <c r="D153" s="231"/>
      <c r="E153" s="65">
        <v>23.55</v>
      </c>
    </row>
    <row r="154" spans="1:5" ht="14.25" customHeight="1" x14ac:dyDescent="0.2">
      <c r="A154" s="241" t="s">
        <v>1447</v>
      </c>
      <c r="B154" s="242"/>
      <c r="C154" s="242"/>
      <c r="D154" s="242"/>
      <c r="E154" s="59">
        <v>23.55</v>
      </c>
    </row>
    <row r="155" spans="1:5" x14ac:dyDescent="0.2">
      <c r="A155" s="56"/>
      <c r="B155" s="85"/>
      <c r="C155" s="85"/>
      <c r="E155" s="57"/>
    </row>
    <row r="156" spans="1:5" s="39" customFormat="1" ht="40.5" customHeight="1" x14ac:dyDescent="0.2">
      <c r="A156" s="41" t="s">
        <v>967</v>
      </c>
      <c r="B156" s="235" t="s">
        <v>236</v>
      </c>
      <c r="C156" s="235"/>
      <c r="D156" s="235"/>
      <c r="E156" s="235"/>
    </row>
    <row r="157" spans="1:5" ht="14.25" customHeight="1" x14ac:dyDescent="0.2">
      <c r="A157" s="228" t="s">
        <v>883</v>
      </c>
      <c r="B157" s="229"/>
      <c r="C157" s="229"/>
      <c r="D157" s="229"/>
      <c r="E157" s="58">
        <v>2365.34</v>
      </c>
    </row>
    <row r="158" spans="1:5" ht="14.25" customHeight="1" x14ac:dyDescent="0.2">
      <c r="A158" s="228" t="s">
        <v>884</v>
      </c>
      <c r="B158" s="229"/>
      <c r="C158" s="229"/>
      <c r="D158" s="229"/>
      <c r="E158" s="58">
        <v>2177.6799999999998</v>
      </c>
    </row>
    <row r="159" spans="1:5" ht="14.25" customHeight="1" x14ac:dyDescent="0.2">
      <c r="A159" s="230" t="s">
        <v>1452</v>
      </c>
      <c r="B159" s="231"/>
      <c r="C159" s="231"/>
      <c r="D159" s="231"/>
      <c r="E159" s="65">
        <v>1634.18</v>
      </c>
    </row>
    <row r="160" spans="1:5" ht="14.25" customHeight="1" x14ac:dyDescent="0.2">
      <c r="A160" s="241" t="s">
        <v>1449</v>
      </c>
      <c r="B160" s="242"/>
      <c r="C160" s="242"/>
      <c r="D160" s="242"/>
      <c r="E160" s="59">
        <v>543.49999999999977</v>
      </c>
    </row>
    <row r="161" spans="1:5" ht="14.25" customHeight="1" x14ac:dyDescent="0.2">
      <c r="A161" s="243" t="s">
        <v>1451</v>
      </c>
      <c r="B161" s="244"/>
      <c r="C161" s="244"/>
      <c r="D161" s="244"/>
      <c r="E161" s="87">
        <v>-187.66000000000031</v>
      </c>
    </row>
    <row r="162" spans="1:5" x14ac:dyDescent="0.2">
      <c r="A162" s="56"/>
      <c r="B162" s="85"/>
      <c r="C162" s="85"/>
      <c r="E162" s="57"/>
    </row>
    <row r="163" spans="1:5" ht="17.25" customHeight="1" x14ac:dyDescent="0.2">
      <c r="A163" s="40" t="s">
        <v>881</v>
      </c>
      <c r="B163" s="234" t="s">
        <v>238</v>
      </c>
      <c r="C163" s="234"/>
      <c r="D163" s="234"/>
      <c r="E163" s="234"/>
    </row>
    <row r="164" spans="1:5" s="39" customFormat="1" ht="40.5" hidden="1" customHeight="1" x14ac:dyDescent="0.2">
      <c r="A164" s="41" t="s">
        <v>1053</v>
      </c>
      <c r="B164" s="235" t="s">
        <v>240</v>
      </c>
      <c r="C164" s="235"/>
      <c r="D164" s="235"/>
      <c r="E164" s="235"/>
    </row>
    <row r="165" spans="1:5" ht="14.25" hidden="1" customHeight="1" x14ac:dyDescent="0.2">
      <c r="A165" s="228" t="s">
        <v>1054</v>
      </c>
      <c r="B165" s="229"/>
      <c r="C165" s="229"/>
      <c r="D165" s="229"/>
      <c r="E165" s="58" t="e">
        <v>#REF!</v>
      </c>
    </row>
    <row r="166" spans="1:5" ht="14.25" hidden="1" customHeight="1" x14ac:dyDescent="0.2">
      <c r="A166" s="228" t="s">
        <v>1055</v>
      </c>
      <c r="B166" s="229"/>
      <c r="C166" s="229"/>
      <c r="D166" s="229"/>
      <c r="E166" s="58">
        <v>2970.02</v>
      </c>
    </row>
    <row r="167" spans="1:5" ht="14.25" hidden="1" customHeight="1" x14ac:dyDescent="0.2">
      <c r="A167" s="230" t="s">
        <v>1167</v>
      </c>
      <c r="B167" s="231"/>
      <c r="C167" s="231"/>
      <c r="D167" s="231"/>
      <c r="E167" s="65">
        <v>1188.01</v>
      </c>
    </row>
    <row r="168" spans="1:5" ht="14.25" hidden="1" customHeight="1" x14ac:dyDescent="0.2">
      <c r="A168" s="241" t="s">
        <v>1168</v>
      </c>
      <c r="B168" s="242"/>
      <c r="C168" s="242"/>
      <c r="D168" s="242"/>
      <c r="E168" s="59" t="e">
        <v>#REF!</v>
      </c>
    </row>
    <row r="169" spans="1:5" hidden="1" x14ac:dyDescent="0.2">
      <c r="A169" s="56"/>
      <c r="B169" s="85"/>
      <c r="C169" s="85"/>
      <c r="E169" s="57"/>
    </row>
    <row r="170" spans="1:5" s="39" customFormat="1" ht="40.5" customHeight="1" x14ac:dyDescent="0.2">
      <c r="A170" s="41" t="s">
        <v>918</v>
      </c>
      <c r="B170" s="235" t="s">
        <v>242</v>
      </c>
      <c r="C170" s="235"/>
      <c r="D170" s="235"/>
      <c r="E170" s="235"/>
    </row>
    <row r="171" spans="1:5" ht="14.25" customHeight="1" x14ac:dyDescent="0.2">
      <c r="A171" s="228" t="s">
        <v>920</v>
      </c>
      <c r="B171" s="229"/>
      <c r="C171" s="229"/>
      <c r="D171" s="229"/>
      <c r="E171" s="58">
        <v>192.76999999999998</v>
      </c>
    </row>
    <row r="172" spans="1:5" ht="14.25" customHeight="1" x14ac:dyDescent="0.2">
      <c r="A172" s="228" t="s">
        <v>1056</v>
      </c>
      <c r="B172" s="229"/>
      <c r="C172" s="229"/>
      <c r="D172" s="229"/>
      <c r="E172" s="58">
        <v>138.11000000000001</v>
      </c>
    </row>
    <row r="173" spans="1:5" ht="14.25" customHeight="1" x14ac:dyDescent="0.2">
      <c r="A173" s="230" t="s">
        <v>1515</v>
      </c>
      <c r="B173" s="231"/>
      <c r="C173" s="231"/>
      <c r="D173" s="231"/>
      <c r="E173" s="65">
        <v>138.11000000000001</v>
      </c>
    </row>
    <row r="174" spans="1:5" ht="14.25" customHeight="1" x14ac:dyDescent="0.2">
      <c r="A174" s="241" t="s">
        <v>1516</v>
      </c>
      <c r="B174" s="242"/>
      <c r="C174" s="242"/>
      <c r="D174" s="242"/>
      <c r="E174" s="59">
        <v>54.659999999999968</v>
      </c>
    </row>
    <row r="175" spans="1:5" x14ac:dyDescent="0.2">
      <c r="A175" s="56"/>
      <c r="B175" s="85"/>
      <c r="C175" s="85"/>
      <c r="E175" s="57"/>
    </row>
    <row r="176" spans="1:5" s="39" customFormat="1" ht="22.5" hidden="1" customHeight="1" x14ac:dyDescent="0.2">
      <c r="A176" s="41" t="s">
        <v>1057</v>
      </c>
      <c r="B176" s="235" t="s">
        <v>244</v>
      </c>
      <c r="C176" s="235"/>
      <c r="D176" s="235"/>
      <c r="E176" s="235"/>
    </row>
    <row r="177" spans="1:5" ht="14.25" hidden="1" customHeight="1" x14ac:dyDescent="0.2">
      <c r="A177" s="228" t="s">
        <v>1058</v>
      </c>
      <c r="B177" s="229"/>
      <c r="C177" s="229"/>
      <c r="D177" s="229"/>
      <c r="E177" s="58" t="e">
        <v>#REF!</v>
      </c>
    </row>
    <row r="178" spans="1:5" ht="14.25" hidden="1" customHeight="1" x14ac:dyDescent="0.2">
      <c r="A178" s="228" t="s">
        <v>1059</v>
      </c>
      <c r="B178" s="229"/>
      <c r="C178" s="229"/>
      <c r="D178" s="229"/>
      <c r="E178" s="58">
        <v>115.57</v>
      </c>
    </row>
    <row r="179" spans="1:5" ht="14.25" hidden="1" customHeight="1" x14ac:dyDescent="0.2">
      <c r="A179" s="230" t="s">
        <v>1060</v>
      </c>
      <c r="B179" s="231"/>
      <c r="C179" s="231"/>
      <c r="D179" s="231"/>
      <c r="E179" s="65">
        <v>0</v>
      </c>
    </row>
    <row r="180" spans="1:5" ht="14.25" hidden="1" customHeight="1" x14ac:dyDescent="0.2">
      <c r="A180" s="241" t="s">
        <v>1061</v>
      </c>
      <c r="B180" s="242"/>
      <c r="C180" s="242"/>
      <c r="D180" s="242"/>
      <c r="E180" s="59" t="e">
        <v>#REF!</v>
      </c>
    </row>
    <row r="181" spans="1:5" hidden="1" x14ac:dyDescent="0.2">
      <c r="A181" s="56"/>
      <c r="B181" s="85"/>
      <c r="C181" s="85"/>
      <c r="E181" s="57"/>
    </row>
    <row r="182" spans="1:5" s="39" customFormat="1" ht="40.5" customHeight="1" x14ac:dyDescent="0.2">
      <c r="A182" s="41" t="s">
        <v>882</v>
      </c>
      <c r="B182" s="235" t="s">
        <v>246</v>
      </c>
      <c r="C182" s="235"/>
      <c r="D182" s="235"/>
      <c r="E182" s="235"/>
    </row>
    <row r="183" spans="1:5" ht="14.25" customHeight="1" x14ac:dyDescent="0.2">
      <c r="A183" s="228" t="s">
        <v>895</v>
      </c>
      <c r="B183" s="229"/>
      <c r="C183" s="229"/>
      <c r="D183" s="229"/>
      <c r="E183" s="58">
        <v>4578.2409999999991</v>
      </c>
    </row>
    <row r="184" spans="1:5" ht="14.25" customHeight="1" x14ac:dyDescent="0.2">
      <c r="A184" s="228" t="s">
        <v>896</v>
      </c>
      <c r="B184" s="229"/>
      <c r="C184" s="229"/>
      <c r="D184" s="229"/>
      <c r="E184" s="58">
        <v>4858.42</v>
      </c>
    </row>
    <row r="185" spans="1:5" ht="14.25" customHeight="1" x14ac:dyDescent="0.2">
      <c r="A185" s="230" t="s">
        <v>1947</v>
      </c>
      <c r="B185" s="231"/>
      <c r="C185" s="231"/>
      <c r="D185" s="231"/>
      <c r="E185" s="65">
        <v>4266.4399999999996</v>
      </c>
    </row>
    <row r="186" spans="1:5" ht="14.25" customHeight="1" x14ac:dyDescent="0.2">
      <c r="A186" s="241" t="s">
        <v>1948</v>
      </c>
      <c r="B186" s="242"/>
      <c r="C186" s="242"/>
      <c r="D186" s="242"/>
      <c r="E186" s="59">
        <v>311.80099999999948</v>
      </c>
    </row>
    <row r="187" spans="1:5" x14ac:dyDescent="0.2">
      <c r="A187" s="56"/>
      <c r="B187" s="85"/>
      <c r="C187" s="85"/>
      <c r="E187" s="57"/>
    </row>
    <row r="188" spans="1:5" s="39" customFormat="1" ht="22.5" hidden="1" customHeight="1" x14ac:dyDescent="0.2">
      <c r="A188" s="41" t="s">
        <v>1062</v>
      </c>
      <c r="B188" s="235" t="s">
        <v>252</v>
      </c>
      <c r="C188" s="235"/>
      <c r="D188" s="235"/>
      <c r="E188" s="235"/>
    </row>
    <row r="189" spans="1:5" ht="14.25" hidden="1" customHeight="1" x14ac:dyDescent="0.2">
      <c r="A189" s="228" t="s">
        <v>1063</v>
      </c>
      <c r="B189" s="229"/>
      <c r="C189" s="229"/>
      <c r="D189" s="229"/>
      <c r="E189" s="58">
        <v>122.07000000000001</v>
      </c>
    </row>
    <row r="190" spans="1:5" ht="14.25" hidden="1" customHeight="1" x14ac:dyDescent="0.2">
      <c r="A190" s="228" t="s">
        <v>1064</v>
      </c>
      <c r="B190" s="229"/>
      <c r="C190" s="229"/>
      <c r="D190" s="229"/>
      <c r="E190" s="58">
        <v>154.22999999999999</v>
      </c>
    </row>
    <row r="191" spans="1:5" ht="14.25" hidden="1" customHeight="1" x14ac:dyDescent="0.2">
      <c r="A191" s="230" t="s">
        <v>1517</v>
      </c>
      <c r="B191" s="231"/>
      <c r="C191" s="231"/>
      <c r="D191" s="231"/>
      <c r="E191" s="65">
        <v>51.93</v>
      </c>
    </row>
    <row r="192" spans="1:5" ht="14.25" hidden="1" customHeight="1" x14ac:dyDescent="0.2">
      <c r="A192" s="241" t="s">
        <v>1518</v>
      </c>
      <c r="B192" s="242"/>
      <c r="C192" s="242"/>
      <c r="D192" s="242"/>
      <c r="E192" s="59">
        <v>70.140000000000015</v>
      </c>
    </row>
    <row r="193" spans="1:5" hidden="1" x14ac:dyDescent="0.2">
      <c r="A193" s="56"/>
      <c r="B193" s="85"/>
      <c r="C193" s="85"/>
      <c r="E193" s="57"/>
    </row>
    <row r="194" spans="1:5" s="39" customFormat="1" ht="22.5" customHeight="1" x14ac:dyDescent="0.2">
      <c r="A194" s="41" t="s">
        <v>1149</v>
      </c>
      <c r="B194" s="235" t="s">
        <v>254</v>
      </c>
      <c r="C194" s="235"/>
      <c r="D194" s="235"/>
      <c r="E194" s="235"/>
    </row>
    <row r="195" spans="1:5" ht="14.25" customHeight="1" x14ac:dyDescent="0.2">
      <c r="A195" s="228" t="s">
        <v>1150</v>
      </c>
      <c r="B195" s="229"/>
      <c r="C195" s="229"/>
      <c r="D195" s="229"/>
      <c r="E195" s="58">
        <v>167.96</v>
      </c>
    </row>
    <row r="196" spans="1:5" ht="14.25" customHeight="1" x14ac:dyDescent="0.2">
      <c r="A196" s="228" t="s">
        <v>1151</v>
      </c>
      <c r="B196" s="229"/>
      <c r="C196" s="229"/>
      <c r="D196" s="229"/>
      <c r="E196" s="58">
        <v>228.77</v>
      </c>
    </row>
    <row r="197" spans="1:5" ht="14.25" customHeight="1" x14ac:dyDescent="0.2">
      <c r="A197" s="230" t="s">
        <v>1453</v>
      </c>
      <c r="B197" s="231"/>
      <c r="C197" s="231"/>
      <c r="D197" s="231"/>
      <c r="E197" s="65">
        <v>120</v>
      </c>
    </row>
    <row r="198" spans="1:5" ht="14.25" customHeight="1" x14ac:dyDescent="0.2">
      <c r="A198" s="241" t="s">
        <v>1454</v>
      </c>
      <c r="B198" s="242"/>
      <c r="C198" s="242"/>
      <c r="D198" s="242"/>
      <c r="E198" s="59">
        <v>47.960000000000008</v>
      </c>
    </row>
    <row r="199" spans="1:5" x14ac:dyDescent="0.2">
      <c r="A199" s="56"/>
      <c r="B199" s="85"/>
      <c r="C199" s="85"/>
      <c r="E199" s="57"/>
    </row>
    <row r="200" spans="1:5" s="39" customFormat="1" ht="33" hidden="1" customHeight="1" x14ac:dyDescent="0.2">
      <c r="A200" s="41" t="s">
        <v>1152</v>
      </c>
      <c r="B200" s="235" t="s">
        <v>256</v>
      </c>
      <c r="C200" s="235"/>
      <c r="D200" s="235"/>
      <c r="E200" s="235"/>
    </row>
    <row r="201" spans="1:5" ht="14.25" hidden="1" customHeight="1" x14ac:dyDescent="0.2">
      <c r="A201" s="228" t="s">
        <v>1153</v>
      </c>
      <c r="B201" s="229"/>
      <c r="C201" s="229"/>
      <c r="D201" s="229"/>
      <c r="E201" s="58" t="e">
        <v>#REF!</v>
      </c>
    </row>
    <row r="202" spans="1:5" ht="14.25" hidden="1" customHeight="1" x14ac:dyDescent="0.2">
      <c r="A202" s="228" t="s">
        <v>1158</v>
      </c>
      <c r="B202" s="229"/>
      <c r="C202" s="229"/>
      <c r="D202" s="229"/>
      <c r="E202" s="58">
        <v>156.22999999999999</v>
      </c>
    </row>
    <row r="203" spans="1:5" ht="14.25" hidden="1" customHeight="1" x14ac:dyDescent="0.2">
      <c r="A203" s="230" t="s">
        <v>1159</v>
      </c>
      <c r="B203" s="231"/>
      <c r="C203" s="231"/>
      <c r="D203" s="231"/>
      <c r="E203" s="65">
        <v>0</v>
      </c>
    </row>
    <row r="204" spans="1:5" ht="14.25" hidden="1" customHeight="1" x14ac:dyDescent="0.2">
      <c r="A204" s="241" t="s">
        <v>1160</v>
      </c>
      <c r="B204" s="242"/>
      <c r="C204" s="242"/>
      <c r="D204" s="242"/>
      <c r="E204" s="59" t="e">
        <v>#REF!</v>
      </c>
    </row>
    <row r="205" spans="1:5" hidden="1" x14ac:dyDescent="0.2">
      <c r="A205" s="56"/>
      <c r="B205" s="85"/>
      <c r="C205" s="85"/>
      <c r="E205" s="57"/>
    </row>
    <row r="206" spans="1:5" s="39" customFormat="1" ht="33" hidden="1" customHeight="1" x14ac:dyDescent="0.2">
      <c r="A206" s="41" t="s">
        <v>1154</v>
      </c>
      <c r="B206" s="235" t="s">
        <v>258</v>
      </c>
      <c r="C206" s="235"/>
      <c r="D206" s="235"/>
      <c r="E206" s="235"/>
    </row>
    <row r="207" spans="1:5" ht="14.25" hidden="1" customHeight="1" x14ac:dyDescent="0.2">
      <c r="A207" s="228" t="s">
        <v>1161</v>
      </c>
      <c r="B207" s="229"/>
      <c r="C207" s="229"/>
      <c r="D207" s="229"/>
      <c r="E207" s="58" t="e">
        <v>#REF!</v>
      </c>
    </row>
    <row r="208" spans="1:5" ht="14.25" hidden="1" customHeight="1" x14ac:dyDescent="0.2">
      <c r="A208" s="228" t="s">
        <v>1155</v>
      </c>
      <c r="B208" s="229"/>
      <c r="C208" s="229"/>
      <c r="D208" s="229"/>
      <c r="E208" s="58">
        <v>1301.92</v>
      </c>
    </row>
    <row r="209" spans="1:5" ht="14.25" hidden="1" customHeight="1" x14ac:dyDescent="0.2">
      <c r="A209" s="230" t="s">
        <v>1156</v>
      </c>
      <c r="B209" s="231"/>
      <c r="C209" s="231"/>
      <c r="D209" s="231"/>
      <c r="E209" s="65">
        <v>0</v>
      </c>
    </row>
    <row r="210" spans="1:5" ht="14.25" hidden="1" customHeight="1" x14ac:dyDescent="0.2">
      <c r="A210" s="241" t="s">
        <v>1157</v>
      </c>
      <c r="B210" s="242"/>
      <c r="C210" s="242"/>
      <c r="D210" s="242"/>
      <c r="E210" s="59" t="e">
        <v>#REF!</v>
      </c>
    </row>
    <row r="211" spans="1:5" hidden="1" x14ac:dyDescent="0.2">
      <c r="A211" s="56"/>
      <c r="B211" s="85"/>
      <c r="C211" s="85"/>
      <c r="E211" s="57"/>
    </row>
    <row r="212" spans="1:5" ht="17.25" hidden="1" customHeight="1" x14ac:dyDescent="0.2">
      <c r="A212" s="40" t="s">
        <v>1007</v>
      </c>
      <c r="B212" s="234" t="s">
        <v>267</v>
      </c>
      <c r="C212" s="234"/>
      <c r="D212" s="234"/>
      <c r="E212" s="234"/>
    </row>
    <row r="213" spans="1:5" s="39" customFormat="1" ht="40.5" hidden="1" customHeight="1" x14ac:dyDescent="0.2">
      <c r="A213" s="41" t="s">
        <v>1008</v>
      </c>
      <c r="B213" s="235" t="s">
        <v>269</v>
      </c>
      <c r="C213" s="235"/>
      <c r="D213" s="235"/>
      <c r="E213" s="235"/>
    </row>
    <row r="214" spans="1:5" ht="28.5" hidden="1" customHeight="1" x14ac:dyDescent="0.2">
      <c r="A214" s="248" t="s">
        <v>1162</v>
      </c>
      <c r="B214" s="249"/>
      <c r="C214" s="249"/>
      <c r="D214" s="249"/>
      <c r="E214" s="58" t="e">
        <v>#REF!</v>
      </c>
    </row>
    <row r="215" spans="1:5" ht="14.25" hidden="1" customHeight="1" x14ac:dyDescent="0.2">
      <c r="A215" s="228" t="s">
        <v>1009</v>
      </c>
      <c r="B215" s="229"/>
      <c r="C215" s="229"/>
      <c r="D215" s="229"/>
      <c r="E215" s="58" t="e">
        <v>#REF!</v>
      </c>
    </row>
    <row r="216" spans="1:5" ht="14.25" hidden="1" customHeight="1" x14ac:dyDescent="0.2">
      <c r="A216" s="230" t="s">
        <v>1030</v>
      </c>
      <c r="B216" s="231"/>
      <c r="C216" s="231"/>
      <c r="D216" s="231"/>
      <c r="E216" s="65" t="e">
        <v>#REF!</v>
      </c>
    </row>
    <row r="217" spans="1:5" ht="14.25" hidden="1" customHeight="1" x14ac:dyDescent="0.2">
      <c r="A217" s="241" t="s">
        <v>1031</v>
      </c>
      <c r="B217" s="242"/>
      <c r="C217" s="242"/>
      <c r="D217" s="242"/>
      <c r="E217" s="59" t="e">
        <v>#REF!</v>
      </c>
    </row>
    <row r="218" spans="1:5" hidden="1" x14ac:dyDescent="0.2">
      <c r="A218" s="56"/>
      <c r="B218" s="85"/>
      <c r="C218" s="85"/>
      <c r="E218" s="57"/>
    </row>
    <row r="219" spans="1:5" ht="17.25" customHeight="1" x14ac:dyDescent="0.2">
      <c r="A219" s="40" t="s">
        <v>1519</v>
      </c>
      <c r="B219" s="234" t="s">
        <v>271</v>
      </c>
      <c r="C219" s="234"/>
      <c r="D219" s="234"/>
      <c r="E219" s="234"/>
    </row>
    <row r="220" spans="1:5" ht="4.5" customHeight="1" x14ac:dyDescent="0.2">
      <c r="A220" s="56"/>
      <c r="B220" s="85"/>
      <c r="C220" s="85"/>
      <c r="E220" s="57"/>
    </row>
    <row r="221" spans="1:5" s="39" customFormat="1" ht="38.25" hidden="1" customHeight="1" x14ac:dyDescent="0.2">
      <c r="A221" s="41" t="s">
        <v>1604</v>
      </c>
      <c r="B221" s="235" t="s">
        <v>273</v>
      </c>
      <c r="C221" s="235"/>
      <c r="D221" s="235"/>
      <c r="E221" s="235"/>
    </row>
    <row r="222" spans="1:5" ht="14.25" hidden="1" customHeight="1" x14ac:dyDescent="0.2">
      <c r="A222" s="228" t="s">
        <v>1605</v>
      </c>
      <c r="B222" s="229"/>
      <c r="C222" s="229"/>
      <c r="D222" s="229"/>
      <c r="E222" s="58" t="e">
        <v>#REF!</v>
      </c>
    </row>
    <row r="223" spans="1:5" ht="14.25" hidden="1" customHeight="1" x14ac:dyDescent="0.2">
      <c r="A223" s="228" t="s">
        <v>1606</v>
      </c>
      <c r="B223" s="229"/>
      <c r="C223" s="229"/>
      <c r="D223" s="229"/>
      <c r="E223" s="58">
        <v>13</v>
      </c>
    </row>
    <row r="224" spans="1:5" ht="14.25" hidden="1" customHeight="1" x14ac:dyDescent="0.2">
      <c r="A224" s="263" t="s">
        <v>1607</v>
      </c>
      <c r="B224" s="264"/>
      <c r="C224" s="264"/>
      <c r="D224" s="264"/>
      <c r="E224" s="134" t="e">
        <v>#REF!</v>
      </c>
    </row>
    <row r="225" spans="1:5" hidden="1" x14ac:dyDescent="0.2">
      <c r="A225" s="56"/>
      <c r="B225" s="85"/>
      <c r="C225" s="85"/>
      <c r="E225" s="57"/>
    </row>
    <row r="226" spans="1:5" s="39" customFormat="1" ht="38.25" hidden="1" customHeight="1" x14ac:dyDescent="0.2">
      <c r="A226" s="41" t="s">
        <v>1520</v>
      </c>
      <c r="B226" s="235" t="s">
        <v>276</v>
      </c>
      <c r="C226" s="235"/>
      <c r="D226" s="235"/>
      <c r="E226" s="235"/>
    </row>
    <row r="227" spans="1:5" ht="14.25" hidden="1" customHeight="1" x14ac:dyDescent="0.2">
      <c r="A227" s="228" t="s">
        <v>1617</v>
      </c>
      <c r="B227" s="229"/>
      <c r="C227" s="229"/>
      <c r="D227" s="229"/>
      <c r="E227" s="58">
        <v>2</v>
      </c>
    </row>
    <row r="228" spans="1:5" ht="14.25" hidden="1" customHeight="1" x14ac:dyDescent="0.2">
      <c r="A228" s="228" t="s">
        <v>1609</v>
      </c>
      <c r="B228" s="229"/>
      <c r="C228" s="229"/>
      <c r="D228" s="229"/>
      <c r="E228" s="58">
        <v>2</v>
      </c>
    </row>
    <row r="229" spans="1:5" ht="14.25" hidden="1" customHeight="1" x14ac:dyDescent="0.2">
      <c r="A229" s="230" t="s">
        <v>1618</v>
      </c>
      <c r="B229" s="231"/>
      <c r="C229" s="231"/>
      <c r="D229" s="231"/>
      <c r="E229" s="65">
        <v>0</v>
      </c>
    </row>
    <row r="230" spans="1:5" ht="14.25" hidden="1" customHeight="1" x14ac:dyDescent="0.2">
      <c r="A230" s="241" t="s">
        <v>1619</v>
      </c>
      <c r="B230" s="242"/>
      <c r="C230" s="242"/>
      <c r="D230" s="242"/>
      <c r="E230" s="59">
        <v>2</v>
      </c>
    </row>
    <row r="231" spans="1:5" hidden="1" x14ac:dyDescent="0.2">
      <c r="A231" s="56"/>
      <c r="B231" s="85"/>
      <c r="C231" s="85"/>
      <c r="E231" s="57"/>
    </row>
    <row r="232" spans="1:5" s="39" customFormat="1" ht="38.25" hidden="1" customHeight="1" x14ac:dyDescent="0.2">
      <c r="A232" s="41" t="s">
        <v>1525</v>
      </c>
      <c r="B232" s="235" t="s">
        <v>278</v>
      </c>
      <c r="C232" s="235"/>
      <c r="D232" s="235"/>
      <c r="E232" s="235"/>
    </row>
    <row r="233" spans="1:5" ht="14.25" hidden="1" customHeight="1" x14ac:dyDescent="0.2">
      <c r="A233" s="228" t="s">
        <v>1608</v>
      </c>
      <c r="B233" s="229"/>
      <c r="C233" s="229"/>
      <c r="D233" s="229"/>
      <c r="E233" s="58" t="e">
        <v>#REF!</v>
      </c>
    </row>
    <row r="234" spans="1:5" ht="14.25" hidden="1" customHeight="1" x14ac:dyDescent="0.2">
      <c r="A234" s="228" t="s">
        <v>1609</v>
      </c>
      <c r="B234" s="229"/>
      <c r="C234" s="229"/>
      <c r="D234" s="229"/>
      <c r="E234" s="58">
        <v>10</v>
      </c>
    </row>
    <row r="235" spans="1:5" ht="14.25" hidden="1" customHeight="1" x14ac:dyDescent="0.2">
      <c r="A235" s="263" t="s">
        <v>1610</v>
      </c>
      <c r="B235" s="264"/>
      <c r="C235" s="264"/>
      <c r="D235" s="264"/>
      <c r="E235" s="134" t="e">
        <v>#REF!</v>
      </c>
    </row>
    <row r="236" spans="1:5" hidden="1" x14ac:dyDescent="0.2">
      <c r="A236" s="56"/>
      <c r="B236" s="85"/>
      <c r="C236" s="85"/>
      <c r="E236" s="57"/>
    </row>
    <row r="237" spans="1:5" s="39" customFormat="1" ht="38.25" hidden="1" customHeight="1" x14ac:dyDescent="0.2">
      <c r="A237" s="41" t="s">
        <v>1526</v>
      </c>
      <c r="B237" s="235" t="s">
        <v>282</v>
      </c>
      <c r="C237" s="235"/>
      <c r="D237" s="235"/>
      <c r="E237" s="235"/>
    </row>
    <row r="238" spans="1:5" ht="14.25" hidden="1" customHeight="1" x14ac:dyDescent="0.2">
      <c r="A238" s="228" t="s">
        <v>1611</v>
      </c>
      <c r="B238" s="229"/>
      <c r="C238" s="229"/>
      <c r="D238" s="229"/>
      <c r="E238" s="58" t="e">
        <v>#REF!</v>
      </c>
    </row>
    <row r="239" spans="1:5" ht="14.25" hidden="1" customHeight="1" x14ac:dyDescent="0.2">
      <c r="A239" s="228" t="s">
        <v>1612</v>
      </c>
      <c r="B239" s="229"/>
      <c r="C239" s="229"/>
      <c r="D239" s="229"/>
      <c r="E239" s="58">
        <v>13</v>
      </c>
    </row>
    <row r="240" spans="1:5" ht="14.25" hidden="1" customHeight="1" x14ac:dyDescent="0.2">
      <c r="A240" s="243" t="s">
        <v>1613</v>
      </c>
      <c r="B240" s="244"/>
      <c r="C240" s="244"/>
      <c r="D240" s="244"/>
      <c r="E240" s="87" t="e">
        <v>#REF!</v>
      </c>
    </row>
    <row r="241" spans="1:5" hidden="1" x14ac:dyDescent="0.2">
      <c r="A241" s="56"/>
      <c r="B241" s="85"/>
      <c r="C241" s="85"/>
      <c r="E241" s="57"/>
    </row>
    <row r="242" spans="1:5" s="39" customFormat="1" ht="38.25" customHeight="1" x14ac:dyDescent="0.2">
      <c r="A242" s="41" t="s">
        <v>1527</v>
      </c>
      <c r="B242" s="235" t="s">
        <v>1226</v>
      </c>
      <c r="C242" s="235"/>
      <c r="D242" s="235"/>
      <c r="E242" s="235"/>
    </row>
    <row r="243" spans="1:5" ht="14.25" customHeight="1" x14ac:dyDescent="0.2">
      <c r="A243" s="228" t="s">
        <v>1567</v>
      </c>
      <c r="B243" s="229"/>
      <c r="C243" s="229"/>
      <c r="D243" s="229"/>
      <c r="E243" s="58">
        <v>5.94</v>
      </c>
    </row>
    <row r="244" spans="1:5" ht="14.25" customHeight="1" x14ac:dyDescent="0.2">
      <c r="A244" s="228" t="s">
        <v>1528</v>
      </c>
      <c r="B244" s="229"/>
      <c r="C244" s="229"/>
      <c r="D244" s="229"/>
      <c r="E244" s="58">
        <v>5.94</v>
      </c>
    </row>
    <row r="245" spans="1:5" ht="14.25" customHeight="1" x14ac:dyDescent="0.2">
      <c r="A245" s="230" t="s">
        <v>1568</v>
      </c>
      <c r="B245" s="231"/>
      <c r="C245" s="231"/>
      <c r="D245" s="231"/>
      <c r="E245" s="65">
        <v>0</v>
      </c>
    </row>
    <row r="246" spans="1:5" ht="14.25" customHeight="1" x14ac:dyDescent="0.2">
      <c r="A246" s="241" t="s">
        <v>1569</v>
      </c>
      <c r="B246" s="242"/>
      <c r="C246" s="242"/>
      <c r="D246" s="242"/>
      <c r="E246" s="59">
        <v>5.94</v>
      </c>
    </row>
    <row r="247" spans="1:5" x14ac:dyDescent="0.2">
      <c r="A247" s="56"/>
      <c r="B247" s="85"/>
      <c r="C247" s="85"/>
      <c r="E247" s="57"/>
    </row>
    <row r="248" spans="1:5" s="39" customFormat="1" ht="38.25" customHeight="1" x14ac:dyDescent="0.2">
      <c r="A248" s="41" t="s">
        <v>1529</v>
      </c>
      <c r="B248" s="235" t="s">
        <v>1228</v>
      </c>
      <c r="C248" s="235"/>
      <c r="D248" s="235"/>
      <c r="E248" s="235"/>
    </row>
    <row r="249" spans="1:5" ht="14.25" customHeight="1" x14ac:dyDescent="0.2">
      <c r="A249" s="228" t="s">
        <v>1567</v>
      </c>
      <c r="B249" s="229"/>
      <c r="C249" s="229"/>
      <c r="D249" s="229"/>
      <c r="E249" s="58">
        <v>124.96000000000001</v>
      </c>
    </row>
    <row r="250" spans="1:5" ht="14.25" customHeight="1" x14ac:dyDescent="0.2">
      <c r="A250" s="228" t="s">
        <v>1528</v>
      </c>
      <c r="B250" s="229"/>
      <c r="C250" s="229"/>
      <c r="D250" s="229"/>
      <c r="E250" s="58">
        <v>124.96</v>
      </c>
    </row>
    <row r="251" spans="1:5" ht="14.25" customHeight="1" x14ac:dyDescent="0.2">
      <c r="A251" s="230" t="s">
        <v>1568</v>
      </c>
      <c r="B251" s="231"/>
      <c r="C251" s="231"/>
      <c r="D251" s="231"/>
      <c r="E251" s="65">
        <v>0</v>
      </c>
    </row>
    <row r="252" spans="1:5" ht="14.25" customHeight="1" x14ac:dyDescent="0.2">
      <c r="A252" s="241" t="s">
        <v>1569</v>
      </c>
      <c r="B252" s="242"/>
      <c r="C252" s="242"/>
      <c r="D252" s="242"/>
      <c r="E252" s="59">
        <v>124.96000000000001</v>
      </c>
    </row>
    <row r="253" spans="1:5" x14ac:dyDescent="0.2">
      <c r="A253" s="56"/>
      <c r="B253" s="85"/>
      <c r="C253" s="85"/>
      <c r="E253" s="57"/>
    </row>
    <row r="254" spans="1:5" s="39" customFormat="1" ht="38.25" customHeight="1" x14ac:dyDescent="0.2">
      <c r="A254" s="41" t="s">
        <v>1532</v>
      </c>
      <c r="B254" s="235" t="s">
        <v>1230</v>
      </c>
      <c r="C254" s="235"/>
      <c r="D254" s="235"/>
      <c r="E254" s="235"/>
    </row>
    <row r="255" spans="1:5" ht="14.25" customHeight="1" x14ac:dyDescent="0.2">
      <c r="A255" s="228" t="s">
        <v>1533</v>
      </c>
      <c r="B255" s="229"/>
      <c r="C255" s="229"/>
      <c r="D255" s="229"/>
      <c r="E255" s="58">
        <v>28.58</v>
      </c>
    </row>
    <row r="256" spans="1:5" ht="14.25" customHeight="1" x14ac:dyDescent="0.2">
      <c r="A256" s="228" t="s">
        <v>1534</v>
      </c>
      <c r="B256" s="229"/>
      <c r="C256" s="229"/>
      <c r="D256" s="229"/>
      <c r="E256" s="58">
        <v>28.58</v>
      </c>
    </row>
    <row r="257" spans="1:5" ht="14.25" customHeight="1" x14ac:dyDescent="0.2">
      <c r="A257" s="230" t="s">
        <v>1573</v>
      </c>
      <c r="B257" s="231"/>
      <c r="C257" s="231"/>
      <c r="D257" s="231"/>
      <c r="E257" s="65">
        <v>0</v>
      </c>
    </row>
    <row r="258" spans="1:5" ht="14.25" customHeight="1" x14ac:dyDescent="0.2">
      <c r="A258" s="241" t="s">
        <v>1574</v>
      </c>
      <c r="B258" s="242"/>
      <c r="C258" s="242"/>
      <c r="D258" s="242"/>
      <c r="E258" s="59">
        <v>28.58</v>
      </c>
    </row>
    <row r="259" spans="1:5" x14ac:dyDescent="0.2">
      <c r="A259" s="56"/>
      <c r="B259" s="85"/>
      <c r="C259" s="85"/>
      <c r="E259" s="57"/>
    </row>
    <row r="260" spans="1:5" s="39" customFormat="1" ht="38.25" customHeight="1" x14ac:dyDescent="0.2">
      <c r="A260" s="41" t="s">
        <v>1535</v>
      </c>
      <c r="B260" s="235" t="s">
        <v>1232</v>
      </c>
      <c r="C260" s="235"/>
      <c r="D260" s="235"/>
      <c r="E260" s="235"/>
    </row>
    <row r="261" spans="1:5" ht="14.25" customHeight="1" x14ac:dyDescent="0.2">
      <c r="A261" s="228" t="s">
        <v>1575</v>
      </c>
      <c r="B261" s="229"/>
      <c r="C261" s="229"/>
      <c r="D261" s="229"/>
      <c r="E261" s="58">
        <v>513.52</v>
      </c>
    </row>
    <row r="262" spans="1:5" ht="14.25" customHeight="1" x14ac:dyDescent="0.2">
      <c r="A262" s="228" t="s">
        <v>1537</v>
      </c>
      <c r="B262" s="229"/>
      <c r="C262" s="229"/>
      <c r="D262" s="229"/>
      <c r="E262" s="58">
        <v>513.52</v>
      </c>
    </row>
    <row r="263" spans="1:5" ht="14.25" customHeight="1" x14ac:dyDescent="0.2">
      <c r="A263" s="230" t="s">
        <v>1576</v>
      </c>
      <c r="B263" s="231"/>
      <c r="C263" s="231"/>
      <c r="D263" s="231"/>
      <c r="E263" s="65">
        <v>0</v>
      </c>
    </row>
    <row r="264" spans="1:5" ht="14.25" customHeight="1" x14ac:dyDescent="0.2">
      <c r="A264" s="241" t="s">
        <v>1577</v>
      </c>
      <c r="B264" s="242"/>
      <c r="C264" s="242"/>
      <c r="D264" s="242"/>
      <c r="E264" s="59">
        <v>513.52</v>
      </c>
    </row>
    <row r="265" spans="1:5" x14ac:dyDescent="0.2">
      <c r="A265" s="56"/>
      <c r="B265" s="85"/>
      <c r="C265" s="85"/>
      <c r="E265" s="57"/>
    </row>
    <row r="266" spans="1:5" s="39" customFormat="1" ht="38.25" customHeight="1" x14ac:dyDescent="0.2">
      <c r="A266" s="41" t="s">
        <v>1538</v>
      </c>
      <c r="B266" s="235" t="s">
        <v>1539</v>
      </c>
      <c r="C266" s="235"/>
      <c r="D266" s="235"/>
      <c r="E266" s="235"/>
    </row>
    <row r="267" spans="1:5" ht="14.25" customHeight="1" x14ac:dyDescent="0.2">
      <c r="A267" s="228" t="s">
        <v>1578</v>
      </c>
      <c r="B267" s="229"/>
      <c r="C267" s="229"/>
      <c r="D267" s="229"/>
      <c r="E267" s="58">
        <v>17</v>
      </c>
    </row>
    <row r="268" spans="1:5" ht="14.25" customHeight="1" x14ac:dyDescent="0.2">
      <c r="A268" s="228" t="s">
        <v>1543</v>
      </c>
      <c r="B268" s="229"/>
      <c r="C268" s="229"/>
      <c r="D268" s="229"/>
      <c r="E268" s="58">
        <v>17</v>
      </c>
    </row>
    <row r="269" spans="1:5" ht="14.25" customHeight="1" x14ac:dyDescent="0.2">
      <c r="A269" s="230" t="s">
        <v>1633</v>
      </c>
      <c r="B269" s="231"/>
      <c r="C269" s="231"/>
      <c r="D269" s="231"/>
      <c r="E269" s="65">
        <v>0</v>
      </c>
    </row>
    <row r="270" spans="1:5" ht="14.25" customHeight="1" x14ac:dyDescent="0.2">
      <c r="A270" s="241" t="s">
        <v>1580</v>
      </c>
      <c r="B270" s="242"/>
      <c r="C270" s="242"/>
      <c r="D270" s="242"/>
      <c r="E270" s="59">
        <v>17</v>
      </c>
    </row>
    <row r="271" spans="1:5" x14ac:dyDescent="0.2">
      <c r="A271" s="56"/>
      <c r="B271" s="85"/>
      <c r="C271" s="85"/>
      <c r="E271" s="57"/>
    </row>
    <row r="272" spans="1:5" s="39" customFormat="1" ht="38.25" customHeight="1" x14ac:dyDescent="0.2">
      <c r="A272" s="41" t="s">
        <v>1544</v>
      </c>
      <c r="B272" s="235" t="s">
        <v>1236</v>
      </c>
      <c r="C272" s="235"/>
      <c r="D272" s="235"/>
      <c r="E272" s="235"/>
    </row>
    <row r="273" spans="1:5" ht="14.25" customHeight="1" x14ac:dyDescent="0.2">
      <c r="A273" s="228" t="s">
        <v>1634</v>
      </c>
      <c r="B273" s="229"/>
      <c r="C273" s="229"/>
      <c r="D273" s="229"/>
      <c r="E273" s="58">
        <v>13.650000000000002</v>
      </c>
    </row>
    <row r="274" spans="1:5" ht="14.25" customHeight="1" x14ac:dyDescent="0.2">
      <c r="A274" s="228" t="s">
        <v>1614</v>
      </c>
      <c r="B274" s="229"/>
      <c r="C274" s="229"/>
      <c r="D274" s="229"/>
      <c r="E274" s="58">
        <v>13.65</v>
      </c>
    </row>
    <row r="275" spans="1:5" ht="14.25" customHeight="1" x14ac:dyDescent="0.2">
      <c r="A275" s="230" t="s">
        <v>1635</v>
      </c>
      <c r="B275" s="231"/>
      <c r="C275" s="231"/>
      <c r="D275" s="231"/>
      <c r="E275" s="65">
        <v>0</v>
      </c>
    </row>
    <row r="276" spans="1:5" ht="14.25" customHeight="1" x14ac:dyDescent="0.2">
      <c r="A276" s="241" t="s">
        <v>1636</v>
      </c>
      <c r="B276" s="242"/>
      <c r="C276" s="242"/>
      <c r="D276" s="242"/>
      <c r="E276" s="59">
        <v>13.650000000000002</v>
      </c>
    </row>
    <row r="277" spans="1:5" x14ac:dyDescent="0.2">
      <c r="A277" s="56"/>
      <c r="B277" s="85"/>
      <c r="C277" s="85"/>
      <c r="E277" s="57"/>
    </row>
    <row r="278" spans="1:5" s="39" customFormat="1" ht="38.25" customHeight="1" x14ac:dyDescent="0.2">
      <c r="A278" s="41" t="s">
        <v>1551</v>
      </c>
      <c r="B278" s="253" t="s">
        <v>1240</v>
      </c>
      <c r="C278" s="254"/>
      <c r="D278" s="254"/>
      <c r="E278" s="255"/>
    </row>
    <row r="279" spans="1:5" ht="14.25" customHeight="1" x14ac:dyDescent="0.2">
      <c r="A279" s="261" t="s">
        <v>1637</v>
      </c>
      <c r="B279" s="262"/>
      <c r="C279" s="262"/>
      <c r="D279" s="262"/>
      <c r="E279" s="58">
        <v>0.48000000000000009</v>
      </c>
    </row>
    <row r="280" spans="1:5" ht="14.25" customHeight="1" x14ac:dyDescent="0.2">
      <c r="A280" s="228" t="s">
        <v>1615</v>
      </c>
      <c r="B280" s="229"/>
      <c r="C280" s="229"/>
      <c r="D280" s="229"/>
      <c r="E280" s="58">
        <v>0.48</v>
      </c>
    </row>
    <row r="281" spans="1:5" ht="14.25" customHeight="1" x14ac:dyDescent="0.2">
      <c r="A281" s="230" t="s">
        <v>1638</v>
      </c>
      <c r="B281" s="231"/>
      <c r="C281" s="231"/>
      <c r="D281" s="231"/>
      <c r="E281" s="65">
        <v>0</v>
      </c>
    </row>
    <row r="282" spans="1:5" ht="14.25" customHeight="1" x14ac:dyDescent="0.2">
      <c r="A282" s="241" t="s">
        <v>1639</v>
      </c>
      <c r="B282" s="242"/>
      <c r="C282" s="242"/>
      <c r="D282" s="242"/>
      <c r="E282" s="59">
        <v>0.48000000000000009</v>
      </c>
    </row>
    <row r="283" spans="1:5" x14ac:dyDescent="0.2">
      <c r="A283" s="56"/>
      <c r="B283" s="85"/>
      <c r="C283" s="85"/>
      <c r="E283" s="57"/>
    </row>
    <row r="284" spans="1:5" s="39" customFormat="1" ht="38.25" customHeight="1" x14ac:dyDescent="0.2">
      <c r="A284" s="41" t="s">
        <v>1555</v>
      </c>
      <c r="B284" s="235" t="s">
        <v>1242</v>
      </c>
      <c r="C284" s="235"/>
      <c r="D284" s="235"/>
      <c r="E284" s="235"/>
    </row>
    <row r="285" spans="1:5" ht="14.25" customHeight="1" x14ac:dyDescent="0.2">
      <c r="A285" s="228" t="s">
        <v>1640</v>
      </c>
      <c r="B285" s="229"/>
      <c r="C285" s="229"/>
      <c r="D285" s="229"/>
      <c r="E285" s="58">
        <v>41</v>
      </c>
    </row>
    <row r="286" spans="1:5" ht="14.25" customHeight="1" x14ac:dyDescent="0.2">
      <c r="A286" s="228" t="s">
        <v>1616</v>
      </c>
      <c r="B286" s="229"/>
      <c r="C286" s="229"/>
      <c r="D286" s="229"/>
      <c r="E286" s="58">
        <v>41</v>
      </c>
    </row>
    <row r="287" spans="1:5" ht="14.25" customHeight="1" x14ac:dyDescent="0.2">
      <c r="A287" s="230" t="s">
        <v>1641</v>
      </c>
      <c r="B287" s="231"/>
      <c r="C287" s="231"/>
      <c r="D287" s="231"/>
      <c r="E287" s="65">
        <v>0</v>
      </c>
    </row>
    <row r="288" spans="1:5" ht="14.25" customHeight="1" x14ac:dyDescent="0.2">
      <c r="A288" s="241" t="s">
        <v>1642</v>
      </c>
      <c r="B288" s="242"/>
      <c r="C288" s="242"/>
      <c r="D288" s="242"/>
      <c r="E288" s="59">
        <v>41</v>
      </c>
    </row>
    <row r="289" spans="1:5" x14ac:dyDescent="0.2">
      <c r="A289" s="56"/>
      <c r="B289" s="85"/>
      <c r="C289" s="85"/>
      <c r="E289" s="57"/>
    </row>
    <row r="290" spans="1:5" s="39" customFormat="1" ht="38.25" customHeight="1" x14ac:dyDescent="0.2">
      <c r="A290" s="41" t="s">
        <v>1558</v>
      </c>
      <c r="B290" s="235" t="s">
        <v>1244</v>
      </c>
      <c r="C290" s="235"/>
      <c r="D290" s="235"/>
      <c r="E290" s="235"/>
    </row>
    <row r="291" spans="1:5" ht="14.25" customHeight="1" x14ac:dyDescent="0.2">
      <c r="A291" s="228" t="s">
        <v>1640</v>
      </c>
      <c r="B291" s="229"/>
      <c r="C291" s="229"/>
      <c r="D291" s="229"/>
      <c r="E291" s="58">
        <v>2</v>
      </c>
    </row>
    <row r="292" spans="1:5" ht="14.25" customHeight="1" x14ac:dyDescent="0.2">
      <c r="A292" s="228" t="s">
        <v>1616</v>
      </c>
      <c r="B292" s="229"/>
      <c r="C292" s="229"/>
      <c r="D292" s="229"/>
      <c r="E292" s="58">
        <v>2</v>
      </c>
    </row>
    <row r="293" spans="1:5" ht="14.25" customHeight="1" x14ac:dyDescent="0.2">
      <c r="A293" s="230" t="s">
        <v>1641</v>
      </c>
      <c r="B293" s="231"/>
      <c r="C293" s="231"/>
      <c r="D293" s="231"/>
      <c r="E293" s="65">
        <v>0</v>
      </c>
    </row>
    <row r="294" spans="1:5" ht="14.25" customHeight="1" x14ac:dyDescent="0.2">
      <c r="A294" s="241" t="s">
        <v>1642</v>
      </c>
      <c r="B294" s="242"/>
      <c r="C294" s="242"/>
      <c r="D294" s="242"/>
      <c r="E294" s="59">
        <v>2</v>
      </c>
    </row>
    <row r="295" spans="1:5" x14ac:dyDescent="0.2">
      <c r="A295" s="56"/>
      <c r="B295" s="85"/>
      <c r="C295" s="85"/>
      <c r="E295" s="57"/>
    </row>
    <row r="296" spans="1:5" s="39" customFormat="1" ht="38.25" customHeight="1" x14ac:dyDescent="0.2">
      <c r="A296" s="41" t="s">
        <v>1561</v>
      </c>
      <c r="B296" s="235" t="s">
        <v>1246</v>
      </c>
      <c r="C296" s="235"/>
      <c r="D296" s="235"/>
      <c r="E296" s="235"/>
    </row>
    <row r="297" spans="1:5" ht="14.25" customHeight="1" x14ac:dyDescent="0.2">
      <c r="A297" s="228" t="s">
        <v>1640</v>
      </c>
      <c r="B297" s="229"/>
      <c r="C297" s="229"/>
      <c r="D297" s="229"/>
      <c r="E297" s="58">
        <v>105</v>
      </c>
    </row>
    <row r="298" spans="1:5" ht="14.25" customHeight="1" x14ac:dyDescent="0.2">
      <c r="A298" s="228" t="s">
        <v>1616</v>
      </c>
      <c r="B298" s="229"/>
      <c r="C298" s="229"/>
      <c r="D298" s="229"/>
      <c r="E298" s="58">
        <v>105</v>
      </c>
    </row>
    <row r="299" spans="1:5" ht="14.25" customHeight="1" x14ac:dyDescent="0.2">
      <c r="A299" s="230" t="s">
        <v>1643</v>
      </c>
      <c r="B299" s="231"/>
      <c r="C299" s="231"/>
      <c r="D299" s="231"/>
      <c r="E299" s="65">
        <v>0</v>
      </c>
    </row>
    <row r="300" spans="1:5" ht="14.25" customHeight="1" x14ac:dyDescent="0.2">
      <c r="A300" s="241" t="s">
        <v>1642</v>
      </c>
      <c r="B300" s="242"/>
      <c r="C300" s="242"/>
      <c r="D300" s="242"/>
      <c r="E300" s="59">
        <v>105</v>
      </c>
    </row>
    <row r="301" spans="1:5" x14ac:dyDescent="0.2">
      <c r="A301" s="56"/>
      <c r="B301" s="85"/>
      <c r="C301" s="85"/>
      <c r="E301" s="57"/>
    </row>
    <row r="302" spans="1:5" s="39" customFormat="1" ht="38.25" customHeight="1" x14ac:dyDescent="0.2">
      <c r="A302" s="41" t="s">
        <v>1564</v>
      </c>
      <c r="B302" s="235" t="s">
        <v>1248</v>
      </c>
      <c r="C302" s="235"/>
      <c r="D302" s="235"/>
      <c r="E302" s="235"/>
    </row>
    <row r="303" spans="1:5" ht="14.25" customHeight="1" x14ac:dyDescent="0.2">
      <c r="A303" s="228" t="s">
        <v>1640</v>
      </c>
      <c r="B303" s="229"/>
      <c r="C303" s="229"/>
      <c r="D303" s="229"/>
      <c r="E303" s="58">
        <v>42</v>
      </c>
    </row>
    <row r="304" spans="1:5" ht="14.25" customHeight="1" x14ac:dyDescent="0.2">
      <c r="A304" s="228" t="s">
        <v>1616</v>
      </c>
      <c r="B304" s="229"/>
      <c r="C304" s="229"/>
      <c r="D304" s="229"/>
      <c r="E304" s="58">
        <v>42</v>
      </c>
    </row>
    <row r="305" spans="1:5" ht="14.25" customHeight="1" x14ac:dyDescent="0.2">
      <c r="A305" s="230" t="s">
        <v>1641</v>
      </c>
      <c r="B305" s="231"/>
      <c r="C305" s="231"/>
      <c r="D305" s="231"/>
      <c r="E305" s="65">
        <v>0</v>
      </c>
    </row>
    <row r="306" spans="1:5" ht="14.25" customHeight="1" x14ac:dyDescent="0.2">
      <c r="A306" s="241" t="s">
        <v>1642</v>
      </c>
      <c r="B306" s="242"/>
      <c r="C306" s="242"/>
      <c r="D306" s="242"/>
      <c r="E306" s="59">
        <v>42</v>
      </c>
    </row>
    <row r="307" spans="1:5" x14ac:dyDescent="0.2">
      <c r="A307" s="56"/>
      <c r="B307" s="85"/>
      <c r="C307" s="85"/>
      <c r="E307" s="57"/>
    </row>
    <row r="308" spans="1:5" ht="17.25" customHeight="1" x14ac:dyDescent="0.2">
      <c r="A308" s="40" t="s">
        <v>1010</v>
      </c>
      <c r="B308" s="234" t="s">
        <v>292</v>
      </c>
      <c r="C308" s="234"/>
      <c r="D308" s="234"/>
      <c r="E308" s="234"/>
    </row>
    <row r="309" spans="1:5" s="39" customFormat="1" ht="40.5" customHeight="1" x14ac:dyDescent="0.2">
      <c r="A309" s="41" t="s">
        <v>1011</v>
      </c>
      <c r="B309" s="235" t="s">
        <v>294</v>
      </c>
      <c r="C309" s="235"/>
      <c r="D309" s="235"/>
      <c r="E309" s="235"/>
    </row>
    <row r="310" spans="1:5" ht="28.5" customHeight="1" x14ac:dyDescent="0.2">
      <c r="A310" s="248" t="s">
        <v>1162</v>
      </c>
      <c r="B310" s="249"/>
      <c r="C310" s="249"/>
      <c r="D310" s="249"/>
      <c r="E310" s="58">
        <v>900.69</v>
      </c>
    </row>
    <row r="311" spans="1:5" ht="14.25" customHeight="1" x14ac:dyDescent="0.2">
      <c r="A311" s="228" t="s">
        <v>1012</v>
      </c>
      <c r="B311" s="229"/>
      <c r="C311" s="229"/>
      <c r="D311" s="229"/>
      <c r="E311" s="58">
        <v>900.69</v>
      </c>
    </row>
    <row r="312" spans="1:5" ht="14.25" customHeight="1" x14ac:dyDescent="0.2">
      <c r="A312" s="230" t="s">
        <v>1602</v>
      </c>
      <c r="B312" s="231"/>
      <c r="C312" s="231"/>
      <c r="D312" s="231"/>
      <c r="E312" s="65">
        <v>731.26</v>
      </c>
    </row>
    <row r="313" spans="1:5" ht="14.25" customHeight="1" x14ac:dyDescent="0.2">
      <c r="A313" s="241" t="s">
        <v>1603</v>
      </c>
      <c r="B313" s="242"/>
      <c r="C313" s="242"/>
      <c r="D313" s="242"/>
      <c r="E313" s="59">
        <v>169.43000000000006</v>
      </c>
    </row>
    <row r="314" spans="1:5" x14ac:dyDescent="0.2">
      <c r="A314" s="56"/>
      <c r="B314" s="85"/>
      <c r="C314" s="85"/>
      <c r="E314" s="57"/>
    </row>
    <row r="315" spans="1:5" ht="17.25" hidden="1" customHeight="1" x14ac:dyDescent="0.2">
      <c r="A315" s="40" t="s">
        <v>1065</v>
      </c>
      <c r="B315" s="234" t="s">
        <v>296</v>
      </c>
      <c r="C315" s="234"/>
      <c r="D315" s="234"/>
      <c r="E315" s="234"/>
    </row>
    <row r="316" spans="1:5" s="39" customFormat="1" ht="38.25" hidden="1" customHeight="1" x14ac:dyDescent="0.2">
      <c r="A316" s="41" t="s">
        <v>1305</v>
      </c>
      <c r="B316" s="235" t="s">
        <v>1253</v>
      </c>
      <c r="C316" s="235"/>
      <c r="D316" s="235"/>
      <c r="E316" s="235"/>
    </row>
    <row r="317" spans="1:5" ht="14.25" hidden="1" customHeight="1" x14ac:dyDescent="0.2">
      <c r="A317" s="228" t="s">
        <v>1308</v>
      </c>
      <c r="B317" s="229"/>
      <c r="C317" s="229"/>
      <c r="D317" s="229"/>
      <c r="E317" s="58" t="e">
        <v>#REF!</v>
      </c>
    </row>
    <row r="318" spans="1:5" ht="14.25" hidden="1" customHeight="1" x14ac:dyDescent="0.2">
      <c r="A318" s="228" t="s">
        <v>1306</v>
      </c>
      <c r="B318" s="229"/>
      <c r="C318" s="229"/>
      <c r="D318" s="229"/>
      <c r="E318" s="58">
        <v>4</v>
      </c>
    </row>
    <row r="319" spans="1:5" ht="14.25" hidden="1" customHeight="1" x14ac:dyDescent="0.2">
      <c r="A319" s="228" t="s">
        <v>1309</v>
      </c>
      <c r="B319" s="229"/>
      <c r="C319" s="229"/>
      <c r="D319" s="229"/>
      <c r="E319" s="58">
        <v>0</v>
      </c>
    </row>
    <row r="320" spans="1:5" ht="14.25" hidden="1" customHeight="1" x14ac:dyDescent="0.2">
      <c r="A320" s="241" t="s">
        <v>1310</v>
      </c>
      <c r="B320" s="242"/>
      <c r="C320" s="242"/>
      <c r="D320" s="242"/>
      <c r="E320" s="59" t="e">
        <v>#REF!</v>
      </c>
    </row>
    <row r="321" spans="1:5" hidden="1" x14ac:dyDescent="0.2">
      <c r="A321" s="56"/>
      <c r="B321" s="85"/>
      <c r="C321" s="85"/>
      <c r="E321" s="57"/>
    </row>
    <row r="322" spans="1:5" s="39" customFormat="1" ht="38.25" hidden="1" customHeight="1" x14ac:dyDescent="0.2">
      <c r="A322" s="41" t="s">
        <v>1307</v>
      </c>
      <c r="B322" s="235" t="s">
        <v>1255</v>
      </c>
      <c r="C322" s="235"/>
      <c r="D322" s="235"/>
      <c r="E322" s="235"/>
    </row>
    <row r="323" spans="1:5" ht="14.25" hidden="1" customHeight="1" x14ac:dyDescent="0.2">
      <c r="A323" s="228" t="s">
        <v>1308</v>
      </c>
      <c r="B323" s="229"/>
      <c r="C323" s="229"/>
      <c r="D323" s="229"/>
      <c r="E323" s="58" t="e">
        <v>#REF!</v>
      </c>
    </row>
    <row r="324" spans="1:5" ht="14.25" hidden="1" customHeight="1" x14ac:dyDescent="0.2">
      <c r="A324" s="228" t="s">
        <v>1306</v>
      </c>
      <c r="B324" s="229"/>
      <c r="C324" s="229"/>
      <c r="D324" s="229"/>
      <c r="E324" s="58">
        <v>2</v>
      </c>
    </row>
    <row r="325" spans="1:5" ht="14.25" hidden="1" customHeight="1" x14ac:dyDescent="0.2">
      <c r="A325" s="228" t="s">
        <v>1309</v>
      </c>
      <c r="B325" s="229"/>
      <c r="C325" s="229"/>
      <c r="D325" s="229"/>
      <c r="E325" s="58">
        <v>0</v>
      </c>
    </row>
    <row r="326" spans="1:5" ht="14.25" hidden="1" customHeight="1" x14ac:dyDescent="0.2">
      <c r="A326" s="241" t="s">
        <v>1310</v>
      </c>
      <c r="B326" s="242"/>
      <c r="C326" s="242"/>
      <c r="D326" s="242"/>
      <c r="E326" s="59" t="e">
        <v>#REF!</v>
      </c>
    </row>
    <row r="327" spans="1:5" hidden="1" x14ac:dyDescent="0.2">
      <c r="A327" s="56"/>
      <c r="B327" s="85"/>
      <c r="C327" s="85"/>
      <c r="E327" s="57"/>
    </row>
    <row r="328" spans="1:5" ht="17.25" customHeight="1" x14ac:dyDescent="0.2">
      <c r="A328" s="64" t="s">
        <v>907</v>
      </c>
      <c r="B328" s="236" t="s">
        <v>314</v>
      </c>
      <c r="C328" s="236"/>
      <c r="D328" s="236"/>
      <c r="E328" s="236"/>
    </row>
    <row r="329" spans="1:5" ht="17.25" customHeight="1" x14ac:dyDescent="0.2">
      <c r="A329" s="149" t="s">
        <v>1311</v>
      </c>
      <c r="B329" s="245" t="s">
        <v>316</v>
      </c>
      <c r="C329" s="245"/>
      <c r="D329" s="245"/>
      <c r="E329" s="245"/>
    </row>
    <row r="330" spans="1:5" s="39" customFormat="1" ht="42.75" customHeight="1" x14ac:dyDescent="0.2">
      <c r="A330" s="41" t="s">
        <v>1620</v>
      </c>
      <c r="B330" s="235" t="s">
        <v>342</v>
      </c>
      <c r="C330" s="235"/>
      <c r="D330" s="235"/>
      <c r="E330" s="235"/>
    </row>
    <row r="331" spans="1:5" ht="14.25" customHeight="1" x14ac:dyDescent="0.2">
      <c r="A331" s="228" t="s">
        <v>1628</v>
      </c>
      <c r="B331" s="229"/>
      <c r="C331" s="229"/>
      <c r="D331" s="229"/>
      <c r="E331" s="58">
        <v>159.06</v>
      </c>
    </row>
    <row r="332" spans="1:5" ht="14.25" customHeight="1" x14ac:dyDescent="0.2">
      <c r="A332" s="228" t="s">
        <v>1629</v>
      </c>
      <c r="B332" s="229"/>
      <c r="C332" s="229"/>
      <c r="D332" s="229"/>
      <c r="E332" s="58">
        <v>159.06</v>
      </c>
    </row>
    <row r="333" spans="1:5" ht="14.25" customHeight="1" x14ac:dyDescent="0.2">
      <c r="A333" s="228" t="s">
        <v>1632</v>
      </c>
      <c r="B333" s="229"/>
      <c r="C333" s="229"/>
      <c r="D333" s="229"/>
      <c r="E333" s="58">
        <v>0</v>
      </c>
    </row>
    <row r="334" spans="1:5" s="39" customFormat="1" ht="15" customHeight="1" x14ac:dyDescent="0.2">
      <c r="A334" s="239" t="s">
        <v>1631</v>
      </c>
      <c r="B334" s="240"/>
      <c r="C334" s="240"/>
      <c r="D334" s="240"/>
      <c r="E334" s="68">
        <v>159.06</v>
      </c>
    </row>
    <row r="335" spans="1:5" x14ac:dyDescent="0.2">
      <c r="A335" s="56"/>
      <c r="B335" s="85"/>
      <c r="C335" s="85"/>
      <c r="E335" s="57"/>
    </row>
    <row r="336" spans="1:5" s="39" customFormat="1" ht="33.75" customHeight="1" x14ac:dyDescent="0.2">
      <c r="A336" s="41" t="s">
        <v>1622</v>
      </c>
      <c r="B336" s="235" t="s">
        <v>354</v>
      </c>
      <c r="C336" s="235"/>
      <c r="D336" s="235"/>
      <c r="E336" s="235"/>
    </row>
    <row r="337" spans="1:5" ht="14.25" customHeight="1" x14ac:dyDescent="0.2">
      <c r="A337" s="228" t="s">
        <v>1624</v>
      </c>
      <c r="B337" s="229"/>
      <c r="C337" s="229"/>
      <c r="D337" s="229"/>
      <c r="E337" s="58">
        <v>5</v>
      </c>
    </row>
    <row r="338" spans="1:5" ht="14.25" customHeight="1" x14ac:dyDescent="0.2">
      <c r="A338" s="228" t="s">
        <v>1625</v>
      </c>
      <c r="B338" s="229"/>
      <c r="C338" s="229"/>
      <c r="D338" s="229"/>
      <c r="E338" s="58">
        <v>5</v>
      </c>
    </row>
    <row r="339" spans="1:5" ht="14.25" customHeight="1" x14ac:dyDescent="0.2">
      <c r="A339" s="228" t="s">
        <v>1626</v>
      </c>
      <c r="B339" s="229"/>
      <c r="C339" s="229"/>
      <c r="D339" s="229"/>
      <c r="E339" s="58">
        <v>0</v>
      </c>
    </row>
    <row r="340" spans="1:5" s="39" customFormat="1" ht="15" customHeight="1" x14ac:dyDescent="0.2">
      <c r="A340" s="239" t="s">
        <v>1627</v>
      </c>
      <c r="B340" s="240"/>
      <c r="C340" s="240"/>
      <c r="D340" s="240"/>
      <c r="E340" s="68">
        <v>5</v>
      </c>
    </row>
    <row r="341" spans="1:5" x14ac:dyDescent="0.2">
      <c r="A341" s="56"/>
      <c r="B341" s="85"/>
      <c r="C341" s="85"/>
      <c r="E341" s="57"/>
    </row>
    <row r="342" spans="1:5" ht="17.25" customHeight="1" x14ac:dyDescent="0.2">
      <c r="A342" s="149" t="s">
        <v>1124</v>
      </c>
      <c r="B342" s="245" t="s">
        <v>372</v>
      </c>
      <c r="C342" s="245"/>
      <c r="D342" s="245"/>
      <c r="E342" s="245"/>
    </row>
    <row r="343" spans="1:5" s="39" customFormat="1" ht="48" customHeight="1" x14ac:dyDescent="0.2">
      <c r="A343" s="41" t="s">
        <v>1644</v>
      </c>
      <c r="B343" s="235" t="s">
        <v>374</v>
      </c>
      <c r="C343" s="235"/>
      <c r="D343" s="235"/>
      <c r="E343" s="235"/>
    </row>
    <row r="344" spans="1:5" ht="14.25" customHeight="1" x14ac:dyDescent="0.2">
      <c r="A344" s="228" t="s">
        <v>1646</v>
      </c>
      <c r="B344" s="229"/>
      <c r="C344" s="229"/>
      <c r="D344" s="229"/>
      <c r="E344" s="58">
        <v>1</v>
      </c>
    </row>
    <row r="345" spans="1:5" ht="14.25" customHeight="1" x14ac:dyDescent="0.2">
      <c r="A345" s="228" t="s">
        <v>1647</v>
      </c>
      <c r="B345" s="229"/>
      <c r="C345" s="229"/>
      <c r="D345" s="229"/>
      <c r="E345" s="58">
        <v>1</v>
      </c>
    </row>
    <row r="346" spans="1:5" ht="14.25" customHeight="1" x14ac:dyDescent="0.2">
      <c r="A346" s="228" t="s">
        <v>1648</v>
      </c>
      <c r="B346" s="229"/>
      <c r="C346" s="229"/>
      <c r="D346" s="229"/>
      <c r="E346" s="58">
        <v>0</v>
      </c>
    </row>
    <row r="347" spans="1:5" s="39" customFormat="1" ht="15" customHeight="1" x14ac:dyDescent="0.2">
      <c r="A347" s="239" t="s">
        <v>1649</v>
      </c>
      <c r="B347" s="240"/>
      <c r="C347" s="240"/>
      <c r="D347" s="240"/>
      <c r="E347" s="68">
        <v>1</v>
      </c>
    </row>
    <row r="348" spans="1:5" x14ac:dyDescent="0.2">
      <c r="A348" s="56"/>
      <c r="B348" s="85"/>
      <c r="C348" s="85"/>
      <c r="E348" s="57"/>
    </row>
    <row r="349" spans="1:5" s="39" customFormat="1" ht="39.75" customHeight="1" x14ac:dyDescent="0.2">
      <c r="A349" s="41" t="s">
        <v>1650</v>
      </c>
      <c r="B349" s="235" t="s">
        <v>340</v>
      </c>
      <c r="C349" s="235"/>
      <c r="D349" s="235"/>
      <c r="E349" s="235"/>
    </row>
    <row r="350" spans="1:5" ht="14.25" customHeight="1" x14ac:dyDescent="0.2">
      <c r="A350" s="228" t="s">
        <v>1652</v>
      </c>
      <c r="B350" s="229"/>
      <c r="C350" s="229"/>
      <c r="D350" s="229"/>
      <c r="E350" s="58">
        <v>66.72</v>
      </c>
    </row>
    <row r="351" spans="1:5" ht="14.25" customHeight="1" x14ac:dyDescent="0.2">
      <c r="A351" s="228" t="s">
        <v>1653</v>
      </c>
      <c r="B351" s="229"/>
      <c r="C351" s="229"/>
      <c r="D351" s="229"/>
      <c r="E351" s="58">
        <v>66.7</v>
      </c>
    </row>
    <row r="352" spans="1:5" ht="14.25" customHeight="1" x14ac:dyDescent="0.2">
      <c r="A352" s="228" t="s">
        <v>1656</v>
      </c>
      <c r="B352" s="229"/>
      <c r="C352" s="229"/>
      <c r="D352" s="229"/>
      <c r="E352" s="58">
        <v>0</v>
      </c>
    </row>
    <row r="353" spans="1:5" s="39" customFormat="1" ht="15" customHeight="1" x14ac:dyDescent="0.2">
      <c r="A353" s="239" t="s">
        <v>1658</v>
      </c>
      <c r="B353" s="240"/>
      <c r="C353" s="240"/>
      <c r="D353" s="240"/>
      <c r="E353" s="68">
        <v>66.72</v>
      </c>
    </row>
    <row r="354" spans="1:5" x14ac:dyDescent="0.2">
      <c r="A354" s="56"/>
      <c r="B354" s="85"/>
      <c r="C354" s="85"/>
      <c r="E354" s="57"/>
    </row>
    <row r="355" spans="1:5" s="39" customFormat="1" ht="36" customHeight="1" x14ac:dyDescent="0.2">
      <c r="A355" s="41" t="s">
        <v>1654</v>
      </c>
      <c r="B355" s="235" t="s">
        <v>336</v>
      </c>
      <c r="C355" s="235"/>
      <c r="D355" s="235"/>
      <c r="E355" s="235"/>
    </row>
    <row r="356" spans="1:5" ht="14.25" customHeight="1" x14ac:dyDescent="0.2">
      <c r="A356" s="228" t="s">
        <v>1652</v>
      </c>
      <c r="B356" s="229"/>
      <c r="C356" s="229"/>
      <c r="D356" s="229"/>
      <c r="E356" s="58">
        <v>9.4499999999999993</v>
      </c>
    </row>
    <row r="357" spans="1:5" ht="14.25" customHeight="1" x14ac:dyDescent="0.2">
      <c r="A357" s="228" t="s">
        <v>1653</v>
      </c>
      <c r="B357" s="229"/>
      <c r="C357" s="229"/>
      <c r="D357" s="229"/>
      <c r="E357" s="58">
        <v>9.4499999999999993</v>
      </c>
    </row>
    <row r="358" spans="1:5" ht="14.25" customHeight="1" x14ac:dyDescent="0.2">
      <c r="A358" s="228" t="s">
        <v>1656</v>
      </c>
      <c r="B358" s="229"/>
      <c r="C358" s="229"/>
      <c r="D358" s="229"/>
      <c r="E358" s="58">
        <v>0</v>
      </c>
    </row>
    <row r="359" spans="1:5" s="39" customFormat="1" ht="15" customHeight="1" x14ac:dyDescent="0.2">
      <c r="A359" s="239" t="s">
        <v>1658</v>
      </c>
      <c r="B359" s="240"/>
      <c r="C359" s="240"/>
      <c r="D359" s="240"/>
      <c r="E359" s="68">
        <v>9.4499999999999993</v>
      </c>
    </row>
    <row r="360" spans="1:5" x14ac:dyDescent="0.2">
      <c r="A360" s="56"/>
      <c r="B360" s="85"/>
      <c r="C360" s="85"/>
      <c r="E360" s="57"/>
    </row>
    <row r="361" spans="1:5" s="39" customFormat="1" ht="43.5" customHeight="1" x14ac:dyDescent="0.2">
      <c r="A361" s="41" t="s">
        <v>1655</v>
      </c>
      <c r="B361" s="235" t="s">
        <v>338</v>
      </c>
      <c r="C361" s="235"/>
      <c r="D361" s="235"/>
      <c r="E361" s="235"/>
    </row>
    <row r="362" spans="1:5" ht="14.25" customHeight="1" x14ac:dyDescent="0.2">
      <c r="A362" s="228" t="s">
        <v>1652</v>
      </c>
      <c r="B362" s="229"/>
      <c r="C362" s="229"/>
      <c r="D362" s="229"/>
      <c r="E362" s="58">
        <v>5.8</v>
      </c>
    </row>
    <row r="363" spans="1:5" ht="14.25" customHeight="1" x14ac:dyDescent="0.2">
      <c r="A363" s="228" t="s">
        <v>1653</v>
      </c>
      <c r="B363" s="229"/>
      <c r="C363" s="229"/>
      <c r="D363" s="229"/>
      <c r="E363" s="58">
        <v>5.8</v>
      </c>
    </row>
    <row r="364" spans="1:5" ht="14.25" customHeight="1" x14ac:dyDescent="0.2">
      <c r="A364" s="228" t="s">
        <v>1656</v>
      </c>
      <c r="B364" s="229"/>
      <c r="C364" s="229"/>
      <c r="D364" s="229"/>
      <c r="E364" s="58">
        <v>0</v>
      </c>
    </row>
    <row r="365" spans="1:5" s="39" customFormat="1" ht="15" customHeight="1" x14ac:dyDescent="0.2">
      <c r="A365" s="239" t="s">
        <v>1658</v>
      </c>
      <c r="B365" s="240"/>
      <c r="C365" s="240"/>
      <c r="D365" s="240"/>
      <c r="E365" s="68">
        <v>5.8</v>
      </c>
    </row>
    <row r="366" spans="1:5" x14ac:dyDescent="0.2">
      <c r="A366" s="56"/>
      <c r="B366" s="85"/>
      <c r="C366" s="85"/>
      <c r="E366" s="57"/>
    </row>
    <row r="367" spans="1:5" ht="17.25" hidden="1" customHeight="1" x14ac:dyDescent="0.2">
      <c r="A367" s="149" t="s">
        <v>908</v>
      </c>
      <c r="B367" s="245" t="s">
        <v>384</v>
      </c>
      <c r="C367" s="245"/>
      <c r="D367" s="245"/>
      <c r="E367" s="245"/>
    </row>
    <row r="368" spans="1:5" s="39" customFormat="1" ht="34.5" hidden="1" customHeight="1" x14ac:dyDescent="0.2">
      <c r="A368" s="41" t="s">
        <v>1125</v>
      </c>
      <c r="B368" s="235" t="s">
        <v>403</v>
      </c>
      <c r="C368" s="235"/>
      <c r="D368" s="235"/>
      <c r="E368" s="235"/>
    </row>
    <row r="369" spans="1:5" ht="14.25" hidden="1" customHeight="1" x14ac:dyDescent="0.2">
      <c r="A369" s="228" t="s">
        <v>1325</v>
      </c>
      <c r="B369" s="229"/>
      <c r="C369" s="229"/>
      <c r="D369" s="229"/>
      <c r="E369" s="58" t="e">
        <v>#REF!</v>
      </c>
    </row>
    <row r="370" spans="1:5" ht="14.25" hidden="1" customHeight="1" x14ac:dyDescent="0.2">
      <c r="A370" s="228" t="s">
        <v>1326</v>
      </c>
      <c r="B370" s="229"/>
      <c r="C370" s="229"/>
      <c r="D370" s="229"/>
      <c r="E370" s="58">
        <v>74</v>
      </c>
    </row>
    <row r="371" spans="1:5" ht="14.25" hidden="1" customHeight="1" x14ac:dyDescent="0.2">
      <c r="A371" s="228" t="s">
        <v>1328</v>
      </c>
      <c r="B371" s="229"/>
      <c r="C371" s="229"/>
      <c r="D371" s="229"/>
      <c r="E371" s="58">
        <v>4</v>
      </c>
    </row>
    <row r="372" spans="1:5" s="39" customFormat="1" ht="15" hidden="1" customHeight="1" x14ac:dyDescent="0.2">
      <c r="A372" s="239" t="s">
        <v>1324</v>
      </c>
      <c r="B372" s="240"/>
      <c r="C372" s="240"/>
      <c r="D372" s="240"/>
      <c r="E372" s="68" t="e">
        <v>#REF!</v>
      </c>
    </row>
    <row r="373" spans="1:5" hidden="1" x14ac:dyDescent="0.2">
      <c r="A373" s="61"/>
      <c r="B373" s="42"/>
      <c r="C373" s="42"/>
      <c r="D373" s="42"/>
      <c r="E373" s="62"/>
    </row>
    <row r="374" spans="1:5" s="39" customFormat="1" ht="19.5" hidden="1" customHeight="1" x14ac:dyDescent="0.2">
      <c r="A374" s="41" t="s">
        <v>1320</v>
      </c>
      <c r="B374" s="235" t="s">
        <v>405</v>
      </c>
      <c r="C374" s="235"/>
      <c r="D374" s="235"/>
      <c r="E374" s="235"/>
    </row>
    <row r="375" spans="1:5" ht="14.25" hidden="1" customHeight="1" x14ac:dyDescent="0.2">
      <c r="A375" s="228" t="s">
        <v>1325</v>
      </c>
      <c r="B375" s="229"/>
      <c r="C375" s="229"/>
      <c r="D375" s="229"/>
      <c r="E375" s="58" t="e">
        <v>#REF!</v>
      </c>
    </row>
    <row r="376" spans="1:5" ht="14.25" hidden="1" customHeight="1" x14ac:dyDescent="0.2">
      <c r="A376" s="228" t="s">
        <v>1326</v>
      </c>
      <c r="B376" s="229"/>
      <c r="C376" s="229"/>
      <c r="D376" s="229"/>
      <c r="E376" s="58">
        <v>140</v>
      </c>
    </row>
    <row r="377" spans="1:5" ht="14.25" hidden="1" customHeight="1" x14ac:dyDescent="0.2">
      <c r="A377" s="228" t="s">
        <v>1328</v>
      </c>
      <c r="B377" s="229"/>
      <c r="C377" s="229"/>
      <c r="D377" s="229"/>
      <c r="E377" s="58">
        <v>54</v>
      </c>
    </row>
    <row r="378" spans="1:5" s="39" customFormat="1" ht="15" hidden="1" customHeight="1" x14ac:dyDescent="0.2">
      <c r="A378" s="239" t="s">
        <v>1324</v>
      </c>
      <c r="B378" s="240"/>
      <c r="C378" s="240"/>
      <c r="D378" s="240"/>
      <c r="E378" s="68" t="e">
        <v>#REF!</v>
      </c>
    </row>
    <row r="379" spans="1:5" hidden="1" x14ac:dyDescent="0.2">
      <c r="A379" s="61"/>
      <c r="B379" s="42"/>
      <c r="C379" s="42"/>
      <c r="D379" s="42"/>
      <c r="E379" s="62"/>
    </row>
    <row r="380" spans="1:5" s="39" customFormat="1" ht="28.5" hidden="1" customHeight="1" x14ac:dyDescent="0.2">
      <c r="A380" s="41" t="s">
        <v>1321</v>
      </c>
      <c r="B380" s="235" t="s">
        <v>1262</v>
      </c>
      <c r="C380" s="235"/>
      <c r="D380" s="235"/>
      <c r="E380" s="235"/>
    </row>
    <row r="381" spans="1:5" ht="14.25" hidden="1" customHeight="1" x14ac:dyDescent="0.2">
      <c r="A381" s="228" t="s">
        <v>1329</v>
      </c>
      <c r="B381" s="229"/>
      <c r="C381" s="229"/>
      <c r="D381" s="229"/>
      <c r="E381" s="58" t="e">
        <v>#REF!</v>
      </c>
    </row>
    <row r="382" spans="1:5" ht="14.25" hidden="1" customHeight="1" x14ac:dyDescent="0.2">
      <c r="A382" s="228" t="s">
        <v>1327</v>
      </c>
      <c r="B382" s="229"/>
      <c r="C382" s="229"/>
      <c r="D382" s="229"/>
      <c r="E382" s="58">
        <v>85</v>
      </c>
    </row>
    <row r="383" spans="1:5" ht="14.25" hidden="1" customHeight="1" x14ac:dyDescent="0.2">
      <c r="A383" s="228" t="s">
        <v>1330</v>
      </c>
      <c r="B383" s="229"/>
      <c r="C383" s="229"/>
      <c r="D383" s="229"/>
      <c r="E383" s="58">
        <v>0</v>
      </c>
    </row>
    <row r="384" spans="1:5" ht="14.25" hidden="1" customHeight="1" x14ac:dyDescent="0.2">
      <c r="A384" s="241" t="s">
        <v>1331</v>
      </c>
      <c r="B384" s="242"/>
      <c r="C384" s="242"/>
      <c r="D384" s="242"/>
      <c r="E384" s="59" t="e">
        <v>#REF!</v>
      </c>
    </row>
    <row r="385" spans="1:5" hidden="1" x14ac:dyDescent="0.2">
      <c r="A385" s="61"/>
      <c r="B385" s="42"/>
      <c r="C385" s="42"/>
      <c r="D385" s="42"/>
      <c r="E385" s="62"/>
    </row>
    <row r="386" spans="1:5" ht="17.25" customHeight="1" x14ac:dyDescent="0.2">
      <c r="A386" s="40" t="s">
        <v>916</v>
      </c>
      <c r="B386" s="234" t="s">
        <v>422</v>
      </c>
      <c r="C386" s="234"/>
      <c r="D386" s="234"/>
      <c r="E386" s="234"/>
    </row>
    <row r="387" spans="1:5" s="39" customFormat="1" ht="18.75" customHeight="1" x14ac:dyDescent="0.2">
      <c r="A387" s="64" t="s">
        <v>1178</v>
      </c>
      <c r="B387" s="236" t="s">
        <v>1179</v>
      </c>
      <c r="C387" s="236"/>
      <c r="D387" s="236"/>
      <c r="E387" s="236"/>
    </row>
    <row r="388" spans="1:5" s="39" customFormat="1" ht="56.25" customHeight="1" x14ac:dyDescent="0.2">
      <c r="A388" s="41" t="s">
        <v>1180</v>
      </c>
      <c r="B388" s="235" t="s">
        <v>426</v>
      </c>
      <c r="C388" s="235"/>
      <c r="D388" s="235"/>
      <c r="E388" s="235"/>
    </row>
    <row r="389" spans="1:5" ht="14.25" customHeight="1" x14ac:dyDescent="0.2">
      <c r="A389" s="228" t="s">
        <v>1182</v>
      </c>
      <c r="B389" s="229"/>
      <c r="C389" s="229"/>
      <c r="D389" s="229"/>
      <c r="E389" s="58">
        <v>771</v>
      </c>
    </row>
    <row r="390" spans="1:5" ht="14.25" customHeight="1" x14ac:dyDescent="0.2">
      <c r="A390" s="228" t="s">
        <v>1183</v>
      </c>
      <c r="B390" s="229"/>
      <c r="C390" s="229"/>
      <c r="D390" s="229"/>
      <c r="E390" s="58">
        <v>889</v>
      </c>
    </row>
    <row r="391" spans="1:5" ht="14.25" customHeight="1" x14ac:dyDescent="0.2">
      <c r="A391" s="230" t="s">
        <v>1867</v>
      </c>
      <c r="B391" s="231"/>
      <c r="C391" s="231"/>
      <c r="D391" s="231"/>
      <c r="E391" s="65">
        <v>621</v>
      </c>
    </row>
    <row r="392" spans="1:5" ht="14.25" customHeight="1" x14ac:dyDescent="0.2">
      <c r="A392" s="241" t="s">
        <v>1868</v>
      </c>
      <c r="B392" s="242"/>
      <c r="C392" s="242"/>
      <c r="D392" s="242"/>
      <c r="E392" s="59">
        <v>150</v>
      </c>
    </row>
    <row r="393" spans="1:5" x14ac:dyDescent="0.2">
      <c r="A393" s="56"/>
      <c r="B393" s="85"/>
      <c r="C393" s="85"/>
      <c r="E393" s="57"/>
    </row>
    <row r="394" spans="1:5" s="39" customFormat="1" ht="49.5" customHeight="1" x14ac:dyDescent="0.2">
      <c r="A394" s="41" t="s">
        <v>1181</v>
      </c>
      <c r="B394" s="235" t="s">
        <v>430</v>
      </c>
      <c r="C394" s="235"/>
      <c r="D394" s="235"/>
      <c r="E394" s="235"/>
    </row>
    <row r="395" spans="1:5" ht="14.25" customHeight="1" x14ac:dyDescent="0.2">
      <c r="A395" s="228" t="s">
        <v>1184</v>
      </c>
      <c r="B395" s="229"/>
      <c r="C395" s="229"/>
      <c r="D395" s="229"/>
      <c r="E395" s="58">
        <v>695</v>
      </c>
    </row>
    <row r="396" spans="1:5" ht="14.25" customHeight="1" x14ac:dyDescent="0.2">
      <c r="A396" s="228" t="s">
        <v>1185</v>
      </c>
      <c r="B396" s="229"/>
      <c r="C396" s="229"/>
      <c r="D396" s="229"/>
      <c r="E396" s="58">
        <v>773</v>
      </c>
    </row>
    <row r="397" spans="1:5" ht="14.25" customHeight="1" x14ac:dyDescent="0.2">
      <c r="A397" s="230" t="s">
        <v>1869</v>
      </c>
      <c r="B397" s="231"/>
      <c r="C397" s="231"/>
      <c r="D397" s="231"/>
      <c r="E397" s="65">
        <v>544</v>
      </c>
    </row>
    <row r="398" spans="1:5" ht="14.25" customHeight="1" x14ac:dyDescent="0.2">
      <c r="A398" s="241" t="s">
        <v>1870</v>
      </c>
      <c r="B398" s="242"/>
      <c r="C398" s="242"/>
      <c r="D398" s="242"/>
      <c r="E398" s="59">
        <v>151</v>
      </c>
    </row>
    <row r="399" spans="1:5" x14ac:dyDescent="0.2">
      <c r="A399" s="75"/>
      <c r="B399" s="76"/>
      <c r="C399" s="76"/>
      <c r="D399" s="42"/>
      <c r="E399" s="77"/>
    </row>
    <row r="400" spans="1:5" s="39" customFormat="1" ht="16.5" customHeight="1" x14ac:dyDescent="0.2">
      <c r="A400" s="64" t="s">
        <v>923</v>
      </c>
      <c r="B400" s="236" t="s">
        <v>470</v>
      </c>
      <c r="C400" s="236"/>
      <c r="D400" s="236"/>
      <c r="E400" s="236"/>
    </row>
    <row r="401" spans="1:5" s="39" customFormat="1" ht="30.75" customHeight="1" x14ac:dyDescent="0.2">
      <c r="A401" s="41" t="s">
        <v>924</v>
      </c>
      <c r="B401" s="235" t="s">
        <v>476</v>
      </c>
      <c r="C401" s="235"/>
      <c r="D401" s="235"/>
      <c r="E401" s="235"/>
    </row>
    <row r="402" spans="1:5" ht="14.25" customHeight="1" x14ac:dyDescent="0.2">
      <c r="A402" s="228" t="s">
        <v>1696</v>
      </c>
      <c r="B402" s="229"/>
      <c r="C402" s="229"/>
      <c r="D402" s="229"/>
      <c r="E402" s="58">
        <v>36</v>
      </c>
    </row>
    <row r="403" spans="1:5" ht="14.25" customHeight="1" x14ac:dyDescent="0.2">
      <c r="A403" s="228" t="s">
        <v>1660</v>
      </c>
      <c r="B403" s="229"/>
      <c r="C403" s="229"/>
      <c r="D403" s="229"/>
      <c r="E403" s="58">
        <v>36</v>
      </c>
    </row>
    <row r="404" spans="1:5" ht="14.25" customHeight="1" x14ac:dyDescent="0.2">
      <c r="A404" s="230" t="s">
        <v>1697</v>
      </c>
      <c r="B404" s="231"/>
      <c r="C404" s="231"/>
      <c r="D404" s="231"/>
      <c r="E404" s="65">
        <v>4</v>
      </c>
    </row>
    <row r="405" spans="1:5" ht="14.25" customHeight="1" x14ac:dyDescent="0.2">
      <c r="A405" s="241" t="s">
        <v>1698</v>
      </c>
      <c r="B405" s="242"/>
      <c r="C405" s="242"/>
      <c r="D405" s="242"/>
      <c r="E405" s="59">
        <v>32</v>
      </c>
    </row>
    <row r="406" spans="1:5" x14ac:dyDescent="0.2">
      <c r="A406" s="56"/>
      <c r="B406" s="85"/>
      <c r="C406" s="85"/>
      <c r="E406" s="57"/>
    </row>
    <row r="407" spans="1:5" s="39" customFormat="1" ht="30.75" customHeight="1" x14ac:dyDescent="0.2">
      <c r="A407" s="41" t="s">
        <v>1661</v>
      </c>
      <c r="B407" s="235" t="s">
        <v>478</v>
      </c>
      <c r="C407" s="235"/>
      <c r="D407" s="235"/>
      <c r="E407" s="235"/>
    </row>
    <row r="408" spans="1:5" ht="14.25" customHeight="1" x14ac:dyDescent="0.2">
      <c r="A408" s="228" t="s">
        <v>1701</v>
      </c>
      <c r="B408" s="229"/>
      <c r="C408" s="229"/>
      <c r="D408" s="229"/>
      <c r="E408" s="58">
        <v>9</v>
      </c>
    </row>
    <row r="409" spans="1:5" ht="14.25" customHeight="1" x14ac:dyDescent="0.2">
      <c r="A409" s="228" t="s">
        <v>1662</v>
      </c>
      <c r="B409" s="229"/>
      <c r="C409" s="229"/>
      <c r="D409" s="229"/>
      <c r="E409" s="58">
        <v>9</v>
      </c>
    </row>
    <row r="410" spans="1:5" ht="14.25" customHeight="1" x14ac:dyDescent="0.2">
      <c r="A410" s="230" t="s">
        <v>1699</v>
      </c>
      <c r="B410" s="231"/>
      <c r="C410" s="231"/>
      <c r="D410" s="231"/>
      <c r="E410" s="65">
        <v>0</v>
      </c>
    </row>
    <row r="411" spans="1:5" ht="14.25" customHeight="1" x14ac:dyDescent="0.2">
      <c r="A411" s="241" t="s">
        <v>1700</v>
      </c>
      <c r="B411" s="242"/>
      <c r="C411" s="242"/>
      <c r="D411" s="242"/>
      <c r="E411" s="59">
        <v>9</v>
      </c>
    </row>
    <row r="412" spans="1:5" x14ac:dyDescent="0.2">
      <c r="A412" s="56"/>
      <c r="B412" s="85"/>
      <c r="C412" s="85"/>
      <c r="E412" s="57"/>
    </row>
    <row r="413" spans="1:5" s="39" customFormat="1" ht="30.75" customHeight="1" x14ac:dyDescent="0.2">
      <c r="A413" s="41" t="s">
        <v>1663</v>
      </c>
      <c r="B413" s="235" t="s">
        <v>482</v>
      </c>
      <c r="C413" s="235"/>
      <c r="D413" s="235"/>
      <c r="E413" s="235"/>
    </row>
    <row r="414" spans="1:5" ht="14.25" customHeight="1" x14ac:dyDescent="0.2">
      <c r="A414" s="228" t="s">
        <v>1702</v>
      </c>
      <c r="B414" s="229"/>
      <c r="C414" s="229"/>
      <c r="D414" s="229"/>
      <c r="E414" s="58">
        <v>25</v>
      </c>
    </row>
    <row r="415" spans="1:5" ht="14.25" customHeight="1" x14ac:dyDescent="0.2">
      <c r="A415" s="228" t="s">
        <v>1664</v>
      </c>
      <c r="B415" s="229"/>
      <c r="C415" s="229"/>
      <c r="D415" s="229"/>
      <c r="E415" s="58">
        <v>25</v>
      </c>
    </row>
    <row r="416" spans="1:5" ht="14.25" customHeight="1" x14ac:dyDescent="0.2">
      <c r="A416" s="230" t="s">
        <v>1703</v>
      </c>
      <c r="B416" s="231"/>
      <c r="C416" s="231"/>
      <c r="D416" s="231"/>
      <c r="E416" s="65">
        <v>0</v>
      </c>
    </row>
    <row r="417" spans="1:5" ht="14.25" customHeight="1" x14ac:dyDescent="0.2">
      <c r="A417" s="241" t="s">
        <v>1704</v>
      </c>
      <c r="B417" s="242"/>
      <c r="C417" s="242"/>
      <c r="D417" s="242"/>
      <c r="E417" s="59">
        <v>25</v>
      </c>
    </row>
    <row r="418" spans="1:5" x14ac:dyDescent="0.2">
      <c r="A418" s="56"/>
      <c r="B418" s="85"/>
      <c r="C418" s="85"/>
      <c r="E418" s="57"/>
    </row>
    <row r="419" spans="1:5" s="39" customFormat="1" ht="30.75" customHeight="1" x14ac:dyDescent="0.2">
      <c r="A419" s="41" t="s">
        <v>1665</v>
      </c>
      <c r="B419" s="235" t="s">
        <v>484</v>
      </c>
      <c r="C419" s="235"/>
      <c r="D419" s="235"/>
      <c r="E419" s="235"/>
    </row>
    <row r="420" spans="1:5" ht="14.25" customHeight="1" x14ac:dyDescent="0.2">
      <c r="A420" s="228" t="s">
        <v>1705</v>
      </c>
      <c r="B420" s="229"/>
      <c r="C420" s="229"/>
      <c r="D420" s="229"/>
      <c r="E420" s="58">
        <v>47</v>
      </c>
    </row>
    <row r="421" spans="1:5" ht="14.25" customHeight="1" x14ac:dyDescent="0.2">
      <c r="A421" s="228" t="s">
        <v>1666</v>
      </c>
      <c r="B421" s="229"/>
      <c r="C421" s="229"/>
      <c r="D421" s="229"/>
      <c r="E421" s="58">
        <v>47</v>
      </c>
    </row>
    <row r="422" spans="1:5" ht="14.25" customHeight="1" x14ac:dyDescent="0.2">
      <c r="A422" s="230" t="s">
        <v>1706</v>
      </c>
      <c r="B422" s="231"/>
      <c r="C422" s="231"/>
      <c r="D422" s="231"/>
      <c r="E422" s="65">
        <v>0</v>
      </c>
    </row>
    <row r="423" spans="1:5" ht="14.25" customHeight="1" x14ac:dyDescent="0.2">
      <c r="A423" s="241" t="s">
        <v>1707</v>
      </c>
      <c r="B423" s="242"/>
      <c r="C423" s="242"/>
      <c r="D423" s="242"/>
      <c r="E423" s="59">
        <v>47</v>
      </c>
    </row>
    <row r="424" spans="1:5" x14ac:dyDescent="0.2">
      <c r="A424" s="56"/>
      <c r="B424" s="85"/>
      <c r="C424" s="85"/>
      <c r="E424" s="57"/>
    </row>
    <row r="425" spans="1:5" s="39" customFormat="1" ht="18" customHeight="1" x14ac:dyDescent="0.2">
      <c r="A425" s="41" t="s">
        <v>1708</v>
      </c>
      <c r="B425" s="235" t="s">
        <v>490</v>
      </c>
      <c r="C425" s="235"/>
      <c r="D425" s="235"/>
      <c r="E425" s="235"/>
    </row>
    <row r="426" spans="1:5" ht="14.25" customHeight="1" x14ac:dyDescent="0.2">
      <c r="A426" s="228" t="s">
        <v>1709</v>
      </c>
      <c r="B426" s="229"/>
      <c r="C426" s="229"/>
      <c r="D426" s="229"/>
      <c r="E426" s="58">
        <v>3</v>
      </c>
    </row>
    <row r="427" spans="1:5" ht="14.25" customHeight="1" x14ac:dyDescent="0.2">
      <c r="A427" s="228" t="s">
        <v>1710</v>
      </c>
      <c r="B427" s="229"/>
      <c r="C427" s="229"/>
      <c r="D427" s="229"/>
      <c r="E427" s="58">
        <v>3</v>
      </c>
    </row>
    <row r="428" spans="1:5" ht="14.25" customHeight="1" x14ac:dyDescent="0.2">
      <c r="A428" s="230" t="s">
        <v>1711</v>
      </c>
      <c r="B428" s="231"/>
      <c r="C428" s="231"/>
      <c r="D428" s="231"/>
      <c r="E428" s="65">
        <v>0</v>
      </c>
    </row>
    <row r="429" spans="1:5" ht="14.25" customHeight="1" x14ac:dyDescent="0.2">
      <c r="A429" s="241" t="s">
        <v>1712</v>
      </c>
      <c r="B429" s="242"/>
      <c r="C429" s="242"/>
      <c r="D429" s="242"/>
      <c r="E429" s="59">
        <v>3</v>
      </c>
    </row>
    <row r="430" spans="1:5" x14ac:dyDescent="0.2">
      <c r="A430" s="56"/>
      <c r="B430" s="85"/>
      <c r="C430" s="85"/>
      <c r="E430" s="57"/>
    </row>
    <row r="431" spans="1:5" s="39" customFormat="1" ht="30" customHeight="1" x14ac:dyDescent="0.2">
      <c r="A431" s="41" t="s">
        <v>1667</v>
      </c>
      <c r="B431" s="235" t="s">
        <v>508</v>
      </c>
      <c r="C431" s="235"/>
      <c r="D431" s="235"/>
      <c r="E431" s="235"/>
    </row>
    <row r="432" spans="1:5" ht="14.25" customHeight="1" x14ac:dyDescent="0.2">
      <c r="A432" s="228" t="s">
        <v>1768</v>
      </c>
      <c r="B432" s="229"/>
      <c r="C432" s="229"/>
      <c r="D432" s="229"/>
      <c r="E432" s="58">
        <v>58</v>
      </c>
    </row>
    <row r="433" spans="1:5" ht="14.25" customHeight="1" x14ac:dyDescent="0.2">
      <c r="A433" s="228" t="s">
        <v>1761</v>
      </c>
      <c r="B433" s="229"/>
      <c r="C433" s="229"/>
      <c r="D433" s="229"/>
      <c r="E433" s="58">
        <v>58</v>
      </c>
    </row>
    <row r="434" spans="1:5" ht="14.25" customHeight="1" x14ac:dyDescent="0.2">
      <c r="A434" s="230" t="s">
        <v>1769</v>
      </c>
      <c r="B434" s="231"/>
      <c r="C434" s="231"/>
      <c r="D434" s="231"/>
      <c r="E434" s="65">
        <v>4</v>
      </c>
    </row>
    <row r="435" spans="1:5" ht="14.25" customHeight="1" x14ac:dyDescent="0.2">
      <c r="A435" s="241" t="s">
        <v>1770</v>
      </c>
      <c r="B435" s="242"/>
      <c r="C435" s="242"/>
      <c r="D435" s="242"/>
      <c r="E435" s="59">
        <v>54</v>
      </c>
    </row>
    <row r="436" spans="1:5" x14ac:dyDescent="0.2">
      <c r="A436" s="56"/>
      <c r="B436" s="85"/>
      <c r="C436" s="85"/>
      <c r="E436" s="57"/>
    </row>
    <row r="437" spans="1:5" s="39" customFormat="1" ht="30" customHeight="1" x14ac:dyDescent="0.2">
      <c r="A437" s="41" t="s">
        <v>1669</v>
      </c>
      <c r="B437" s="235" t="s">
        <v>510</v>
      </c>
      <c r="C437" s="235"/>
      <c r="D437" s="235"/>
      <c r="E437" s="235"/>
    </row>
    <row r="438" spans="1:5" ht="14.25" customHeight="1" x14ac:dyDescent="0.2">
      <c r="A438" s="228" t="s">
        <v>1771</v>
      </c>
      <c r="B438" s="229"/>
      <c r="C438" s="229"/>
      <c r="D438" s="229"/>
      <c r="E438" s="58">
        <v>304</v>
      </c>
    </row>
    <row r="439" spans="1:5" ht="14.25" customHeight="1" x14ac:dyDescent="0.2">
      <c r="A439" s="228" t="s">
        <v>1762</v>
      </c>
      <c r="B439" s="229"/>
      <c r="C439" s="229"/>
      <c r="D439" s="229"/>
      <c r="E439" s="58">
        <v>304</v>
      </c>
    </row>
    <row r="440" spans="1:5" ht="14.25" customHeight="1" x14ac:dyDescent="0.2">
      <c r="A440" s="230" t="s">
        <v>1772</v>
      </c>
      <c r="B440" s="231"/>
      <c r="C440" s="231"/>
      <c r="D440" s="231"/>
      <c r="E440" s="65">
        <v>1</v>
      </c>
    </row>
    <row r="441" spans="1:5" ht="14.25" customHeight="1" x14ac:dyDescent="0.2">
      <c r="A441" s="241" t="s">
        <v>1773</v>
      </c>
      <c r="B441" s="242"/>
      <c r="C441" s="242"/>
      <c r="D441" s="242"/>
      <c r="E441" s="59">
        <v>303</v>
      </c>
    </row>
    <row r="442" spans="1:5" x14ac:dyDescent="0.2">
      <c r="A442" s="56"/>
      <c r="B442" s="85"/>
      <c r="C442" s="85"/>
      <c r="E442" s="57"/>
    </row>
    <row r="443" spans="1:5" s="39" customFormat="1" ht="30" customHeight="1" x14ac:dyDescent="0.2">
      <c r="A443" s="41" t="s">
        <v>1671</v>
      </c>
      <c r="B443" s="235" t="s">
        <v>512</v>
      </c>
      <c r="C443" s="235"/>
      <c r="D443" s="235"/>
      <c r="E443" s="235"/>
    </row>
    <row r="444" spans="1:5" ht="14.25" customHeight="1" x14ac:dyDescent="0.2">
      <c r="A444" s="228" t="s">
        <v>1774</v>
      </c>
      <c r="B444" s="229"/>
      <c r="C444" s="229"/>
      <c r="D444" s="229"/>
      <c r="E444" s="58">
        <v>2</v>
      </c>
    </row>
    <row r="445" spans="1:5" ht="14.25" customHeight="1" x14ac:dyDescent="0.2">
      <c r="A445" s="228" t="s">
        <v>1763</v>
      </c>
      <c r="B445" s="229"/>
      <c r="C445" s="229"/>
      <c r="D445" s="229"/>
      <c r="E445" s="58">
        <v>2</v>
      </c>
    </row>
    <row r="446" spans="1:5" ht="14.25" customHeight="1" x14ac:dyDescent="0.2">
      <c r="A446" s="230" t="s">
        <v>1775</v>
      </c>
      <c r="B446" s="231"/>
      <c r="C446" s="231"/>
      <c r="D446" s="231"/>
      <c r="E446" s="65">
        <v>0</v>
      </c>
    </row>
    <row r="447" spans="1:5" ht="14.25" customHeight="1" x14ac:dyDescent="0.2">
      <c r="A447" s="241" t="s">
        <v>1776</v>
      </c>
      <c r="B447" s="242"/>
      <c r="C447" s="242"/>
      <c r="D447" s="242"/>
      <c r="E447" s="59">
        <v>2</v>
      </c>
    </row>
    <row r="448" spans="1:5" x14ac:dyDescent="0.2">
      <c r="A448" s="56"/>
      <c r="B448" s="85"/>
      <c r="C448" s="85"/>
      <c r="E448" s="57"/>
    </row>
    <row r="449" spans="1:5" s="39" customFormat="1" ht="30" customHeight="1" x14ac:dyDescent="0.2">
      <c r="A449" s="41" t="s">
        <v>1673</v>
      </c>
      <c r="B449" s="235" t="s">
        <v>514</v>
      </c>
      <c r="C449" s="235"/>
      <c r="D449" s="235"/>
      <c r="E449" s="235"/>
    </row>
    <row r="450" spans="1:5" ht="14.25" customHeight="1" x14ac:dyDescent="0.2">
      <c r="A450" s="228" t="s">
        <v>1777</v>
      </c>
      <c r="B450" s="229"/>
      <c r="C450" s="229"/>
      <c r="D450" s="229"/>
      <c r="E450" s="58">
        <v>6</v>
      </c>
    </row>
    <row r="451" spans="1:5" ht="14.25" customHeight="1" x14ac:dyDescent="0.2">
      <c r="A451" s="228" t="s">
        <v>1764</v>
      </c>
      <c r="B451" s="229"/>
      <c r="C451" s="229"/>
      <c r="D451" s="229"/>
      <c r="E451" s="58">
        <v>6</v>
      </c>
    </row>
    <row r="452" spans="1:5" ht="14.25" customHeight="1" x14ac:dyDescent="0.2">
      <c r="A452" s="230" t="s">
        <v>1778</v>
      </c>
      <c r="B452" s="231"/>
      <c r="C452" s="231"/>
      <c r="D452" s="231"/>
      <c r="E452" s="65">
        <v>0</v>
      </c>
    </row>
    <row r="453" spans="1:5" ht="14.25" customHeight="1" x14ac:dyDescent="0.2">
      <c r="A453" s="241" t="s">
        <v>1779</v>
      </c>
      <c r="B453" s="242"/>
      <c r="C453" s="242"/>
      <c r="D453" s="242"/>
      <c r="E453" s="59">
        <v>6</v>
      </c>
    </row>
    <row r="454" spans="1:5" x14ac:dyDescent="0.2">
      <c r="A454" s="56"/>
      <c r="B454" s="85"/>
      <c r="C454" s="85"/>
      <c r="E454" s="57"/>
    </row>
    <row r="455" spans="1:5" s="39" customFormat="1" ht="30" customHeight="1" x14ac:dyDescent="0.2">
      <c r="A455" s="41" t="s">
        <v>1675</v>
      </c>
      <c r="B455" s="235" t="s">
        <v>518</v>
      </c>
      <c r="C455" s="235"/>
      <c r="D455" s="235"/>
      <c r="E455" s="235"/>
    </row>
    <row r="456" spans="1:5" ht="14.25" customHeight="1" x14ac:dyDescent="0.2">
      <c r="A456" s="228" t="s">
        <v>1780</v>
      </c>
      <c r="B456" s="229"/>
      <c r="C456" s="229"/>
      <c r="D456" s="229"/>
      <c r="E456" s="58">
        <v>2</v>
      </c>
    </row>
    <row r="457" spans="1:5" ht="14.25" customHeight="1" x14ac:dyDescent="0.2">
      <c r="A457" s="228" t="s">
        <v>1765</v>
      </c>
      <c r="B457" s="229"/>
      <c r="C457" s="229"/>
      <c r="D457" s="229"/>
      <c r="E457" s="58">
        <v>2</v>
      </c>
    </row>
    <row r="458" spans="1:5" ht="14.25" customHeight="1" x14ac:dyDescent="0.2">
      <c r="A458" s="230" t="s">
        <v>1781</v>
      </c>
      <c r="B458" s="231"/>
      <c r="C458" s="231"/>
      <c r="D458" s="231"/>
      <c r="E458" s="65">
        <v>0</v>
      </c>
    </row>
    <row r="459" spans="1:5" ht="14.25" customHeight="1" x14ac:dyDescent="0.2">
      <c r="A459" s="241" t="s">
        <v>1782</v>
      </c>
      <c r="B459" s="242"/>
      <c r="C459" s="242"/>
      <c r="D459" s="242"/>
      <c r="E459" s="59">
        <v>2</v>
      </c>
    </row>
    <row r="460" spans="1:5" x14ac:dyDescent="0.2">
      <c r="A460" s="56"/>
      <c r="B460" s="85"/>
      <c r="C460" s="85"/>
      <c r="E460" s="57"/>
    </row>
    <row r="461" spans="1:5" s="39" customFormat="1" ht="30" customHeight="1" x14ac:dyDescent="0.2">
      <c r="A461" s="41" t="s">
        <v>1677</v>
      </c>
      <c r="B461" s="235" t="s">
        <v>520</v>
      </c>
      <c r="C461" s="235"/>
      <c r="D461" s="235"/>
      <c r="E461" s="235"/>
    </row>
    <row r="462" spans="1:5" ht="14.25" customHeight="1" x14ac:dyDescent="0.2">
      <c r="A462" s="228" t="s">
        <v>1728</v>
      </c>
      <c r="B462" s="229"/>
      <c r="C462" s="229"/>
      <c r="D462" s="229"/>
      <c r="E462" s="58">
        <v>3</v>
      </c>
    </row>
    <row r="463" spans="1:5" ht="14.25" customHeight="1" x14ac:dyDescent="0.2">
      <c r="A463" s="228" t="s">
        <v>1678</v>
      </c>
      <c r="B463" s="229"/>
      <c r="C463" s="229"/>
      <c r="D463" s="229"/>
      <c r="E463" s="58">
        <v>3</v>
      </c>
    </row>
    <row r="464" spans="1:5" ht="14.25" customHeight="1" x14ac:dyDescent="0.2">
      <c r="A464" s="230" t="s">
        <v>1729</v>
      </c>
      <c r="B464" s="231"/>
      <c r="C464" s="231"/>
      <c r="D464" s="231"/>
      <c r="E464" s="65">
        <v>0</v>
      </c>
    </row>
    <row r="465" spans="1:5" ht="14.25" customHeight="1" x14ac:dyDescent="0.2">
      <c r="A465" s="241" t="s">
        <v>1730</v>
      </c>
      <c r="B465" s="242"/>
      <c r="C465" s="242"/>
      <c r="D465" s="242"/>
      <c r="E465" s="59">
        <v>3</v>
      </c>
    </row>
    <row r="466" spans="1:5" x14ac:dyDescent="0.2">
      <c r="A466" s="56"/>
      <c r="B466" s="85"/>
      <c r="C466" s="85"/>
      <c r="E466" s="57"/>
    </row>
    <row r="467" spans="1:5" s="39" customFormat="1" ht="20.25" customHeight="1" x14ac:dyDescent="0.2">
      <c r="A467" s="41" t="s">
        <v>1679</v>
      </c>
      <c r="B467" s="235" t="s">
        <v>524</v>
      </c>
      <c r="C467" s="235"/>
      <c r="D467" s="235"/>
      <c r="E467" s="235"/>
    </row>
    <row r="468" spans="1:5" ht="14.25" customHeight="1" x14ac:dyDescent="0.2">
      <c r="A468" s="228" t="s">
        <v>1783</v>
      </c>
      <c r="B468" s="229"/>
      <c r="C468" s="229"/>
      <c r="D468" s="229"/>
      <c r="E468" s="58">
        <v>68</v>
      </c>
    </row>
    <row r="469" spans="1:5" ht="14.25" customHeight="1" x14ac:dyDescent="0.2">
      <c r="A469" s="228" t="s">
        <v>1766</v>
      </c>
      <c r="B469" s="229"/>
      <c r="C469" s="229"/>
      <c r="D469" s="229"/>
      <c r="E469" s="58">
        <v>68</v>
      </c>
    </row>
    <row r="470" spans="1:5" ht="14.25" customHeight="1" x14ac:dyDescent="0.2">
      <c r="A470" s="230" t="s">
        <v>1784</v>
      </c>
      <c r="B470" s="231"/>
      <c r="C470" s="231"/>
      <c r="D470" s="231"/>
      <c r="E470" s="65">
        <v>0</v>
      </c>
    </row>
    <row r="471" spans="1:5" ht="14.25" customHeight="1" x14ac:dyDescent="0.2">
      <c r="A471" s="241" t="s">
        <v>1785</v>
      </c>
      <c r="B471" s="242"/>
      <c r="C471" s="242"/>
      <c r="D471" s="242"/>
      <c r="E471" s="59">
        <v>68</v>
      </c>
    </row>
    <row r="472" spans="1:5" x14ac:dyDescent="0.2">
      <c r="A472" s="56"/>
      <c r="B472" s="85"/>
      <c r="C472" s="85"/>
      <c r="E472" s="57"/>
    </row>
    <row r="473" spans="1:5" s="39" customFormat="1" ht="20.25" customHeight="1" x14ac:dyDescent="0.2">
      <c r="A473" s="41" t="s">
        <v>1682</v>
      </c>
      <c r="B473" s="235" t="s">
        <v>526</v>
      </c>
      <c r="C473" s="235"/>
      <c r="D473" s="235"/>
      <c r="E473" s="235"/>
    </row>
    <row r="474" spans="1:5" ht="14.25" customHeight="1" x14ac:dyDescent="0.2">
      <c r="A474" s="228" t="s">
        <v>1734</v>
      </c>
      <c r="B474" s="229"/>
      <c r="C474" s="229"/>
      <c r="D474" s="229"/>
      <c r="E474" s="58">
        <v>563</v>
      </c>
    </row>
    <row r="475" spans="1:5" ht="14.25" customHeight="1" x14ac:dyDescent="0.2">
      <c r="A475" s="228" t="s">
        <v>1767</v>
      </c>
      <c r="B475" s="229"/>
      <c r="C475" s="229"/>
      <c r="D475" s="229"/>
      <c r="E475" s="58">
        <v>563</v>
      </c>
    </row>
    <row r="476" spans="1:5" ht="14.25" customHeight="1" x14ac:dyDescent="0.2">
      <c r="A476" s="230" t="s">
        <v>1786</v>
      </c>
      <c r="B476" s="231"/>
      <c r="C476" s="231"/>
      <c r="D476" s="231"/>
      <c r="E476" s="65">
        <v>0</v>
      </c>
    </row>
    <row r="477" spans="1:5" ht="14.25" customHeight="1" x14ac:dyDescent="0.2">
      <c r="A477" s="241" t="s">
        <v>1787</v>
      </c>
      <c r="B477" s="242"/>
      <c r="C477" s="242"/>
      <c r="D477" s="242"/>
      <c r="E477" s="59">
        <v>563</v>
      </c>
    </row>
    <row r="478" spans="1:5" x14ac:dyDescent="0.2">
      <c r="A478" s="56"/>
      <c r="B478" s="85"/>
      <c r="C478" s="85"/>
      <c r="E478" s="57"/>
    </row>
    <row r="479" spans="1:5" s="39" customFormat="1" ht="20.25" customHeight="1" x14ac:dyDescent="0.2">
      <c r="A479" s="41" t="s">
        <v>1685</v>
      </c>
      <c r="B479" s="235" t="s">
        <v>528</v>
      </c>
      <c r="C479" s="235"/>
      <c r="D479" s="235"/>
      <c r="E479" s="235"/>
    </row>
    <row r="480" spans="1:5" ht="14.25" customHeight="1" x14ac:dyDescent="0.2">
      <c r="A480" s="228" t="s">
        <v>1734</v>
      </c>
      <c r="B480" s="229"/>
      <c r="C480" s="229"/>
      <c r="D480" s="229"/>
      <c r="E480" s="58">
        <v>2</v>
      </c>
    </row>
    <row r="481" spans="1:5" ht="14.25" customHeight="1" x14ac:dyDescent="0.2">
      <c r="A481" s="228" t="s">
        <v>1767</v>
      </c>
      <c r="B481" s="229"/>
      <c r="C481" s="229"/>
      <c r="D481" s="229"/>
      <c r="E481" s="58">
        <v>2</v>
      </c>
    </row>
    <row r="482" spans="1:5" ht="14.25" customHeight="1" x14ac:dyDescent="0.2">
      <c r="A482" s="230" t="s">
        <v>1786</v>
      </c>
      <c r="B482" s="231"/>
      <c r="C482" s="231"/>
      <c r="D482" s="231"/>
      <c r="E482" s="65">
        <v>0</v>
      </c>
    </row>
    <row r="483" spans="1:5" ht="14.25" customHeight="1" x14ac:dyDescent="0.2">
      <c r="A483" s="241" t="s">
        <v>1787</v>
      </c>
      <c r="B483" s="242"/>
      <c r="C483" s="242"/>
      <c r="D483" s="242"/>
      <c r="E483" s="59">
        <v>2</v>
      </c>
    </row>
    <row r="484" spans="1:5" x14ac:dyDescent="0.2">
      <c r="A484" s="56"/>
      <c r="B484" s="85"/>
      <c r="C484" s="85"/>
      <c r="E484" s="57"/>
    </row>
    <row r="485" spans="1:5" s="39" customFormat="1" ht="20.25" customHeight="1" x14ac:dyDescent="0.2">
      <c r="A485" s="41" t="s">
        <v>1686</v>
      </c>
      <c r="B485" s="235" t="s">
        <v>1264</v>
      </c>
      <c r="C485" s="235"/>
      <c r="D485" s="235"/>
      <c r="E485" s="235"/>
    </row>
    <row r="486" spans="1:5" ht="14.25" customHeight="1" x14ac:dyDescent="0.2">
      <c r="A486" s="228" t="s">
        <v>1737</v>
      </c>
      <c r="B486" s="229"/>
      <c r="C486" s="229"/>
      <c r="D486" s="229"/>
      <c r="E486" s="58">
        <v>92</v>
      </c>
    </row>
    <row r="487" spans="1:5" ht="14.25" customHeight="1" x14ac:dyDescent="0.2">
      <c r="A487" s="228" t="s">
        <v>1688</v>
      </c>
      <c r="B487" s="229"/>
      <c r="C487" s="229"/>
      <c r="D487" s="229"/>
      <c r="E487" s="58">
        <v>92</v>
      </c>
    </row>
    <row r="488" spans="1:5" ht="14.25" customHeight="1" x14ac:dyDescent="0.2">
      <c r="A488" s="230" t="s">
        <v>1738</v>
      </c>
      <c r="B488" s="231"/>
      <c r="C488" s="231"/>
      <c r="D488" s="231"/>
      <c r="E488" s="65">
        <v>0</v>
      </c>
    </row>
    <row r="489" spans="1:5" ht="14.25" customHeight="1" x14ac:dyDescent="0.2">
      <c r="A489" s="241" t="s">
        <v>1739</v>
      </c>
      <c r="B489" s="242"/>
      <c r="C489" s="242"/>
      <c r="D489" s="242"/>
      <c r="E489" s="59">
        <v>92</v>
      </c>
    </row>
    <row r="490" spans="1:5" x14ac:dyDescent="0.2">
      <c r="A490" s="56"/>
      <c r="B490" s="85"/>
      <c r="C490" s="85"/>
      <c r="E490" s="57"/>
    </row>
    <row r="491" spans="1:5" s="39" customFormat="1" ht="20.25" customHeight="1" x14ac:dyDescent="0.2">
      <c r="A491" s="41" t="s">
        <v>1689</v>
      </c>
      <c r="B491" s="235" t="s">
        <v>1268</v>
      </c>
      <c r="C491" s="235"/>
      <c r="D491" s="235"/>
      <c r="E491" s="235"/>
    </row>
    <row r="492" spans="1:5" ht="14.25" customHeight="1" x14ac:dyDescent="0.2">
      <c r="A492" s="228" t="s">
        <v>1740</v>
      </c>
      <c r="B492" s="229"/>
      <c r="C492" s="229"/>
      <c r="D492" s="229"/>
      <c r="E492" s="58">
        <v>2</v>
      </c>
    </row>
    <row r="493" spans="1:5" ht="14.25" customHeight="1" x14ac:dyDescent="0.2">
      <c r="A493" s="228" t="s">
        <v>1691</v>
      </c>
      <c r="B493" s="229"/>
      <c r="C493" s="229"/>
      <c r="D493" s="229"/>
      <c r="E493" s="58">
        <v>2</v>
      </c>
    </row>
    <row r="494" spans="1:5" ht="14.25" customHeight="1" x14ac:dyDescent="0.2">
      <c r="A494" s="230" t="s">
        <v>1741</v>
      </c>
      <c r="B494" s="231"/>
      <c r="C494" s="231"/>
      <c r="D494" s="231"/>
      <c r="E494" s="65">
        <v>0</v>
      </c>
    </row>
    <row r="495" spans="1:5" ht="14.25" customHeight="1" x14ac:dyDescent="0.2">
      <c r="A495" s="241" t="s">
        <v>1788</v>
      </c>
      <c r="B495" s="242"/>
      <c r="C495" s="242"/>
      <c r="D495" s="242"/>
      <c r="E495" s="59">
        <v>2</v>
      </c>
    </row>
    <row r="496" spans="1:5" x14ac:dyDescent="0.2">
      <c r="A496" s="56"/>
      <c r="B496" s="85"/>
      <c r="C496" s="85"/>
      <c r="E496" s="57"/>
    </row>
    <row r="497" spans="1:5" s="39" customFormat="1" ht="20.25" customHeight="1" x14ac:dyDescent="0.2">
      <c r="A497" s="41" t="s">
        <v>1692</v>
      </c>
      <c r="B497" s="235" t="s">
        <v>1693</v>
      </c>
      <c r="C497" s="235"/>
      <c r="D497" s="235"/>
      <c r="E497" s="235"/>
    </row>
    <row r="498" spans="1:5" ht="14.25" customHeight="1" x14ac:dyDescent="0.2">
      <c r="A498" s="228" t="s">
        <v>1743</v>
      </c>
      <c r="B498" s="229"/>
      <c r="C498" s="229"/>
      <c r="D498" s="229"/>
      <c r="E498" s="58">
        <v>13</v>
      </c>
    </row>
    <row r="499" spans="1:5" ht="14.25" customHeight="1" x14ac:dyDescent="0.2">
      <c r="A499" s="228" t="s">
        <v>1695</v>
      </c>
      <c r="B499" s="229"/>
      <c r="C499" s="229"/>
      <c r="D499" s="229"/>
      <c r="E499" s="58">
        <v>13</v>
      </c>
    </row>
    <row r="500" spans="1:5" ht="14.25" customHeight="1" x14ac:dyDescent="0.2">
      <c r="A500" s="230" t="s">
        <v>1789</v>
      </c>
      <c r="B500" s="231"/>
      <c r="C500" s="231"/>
      <c r="D500" s="231"/>
      <c r="E500" s="65">
        <v>0</v>
      </c>
    </row>
    <row r="501" spans="1:5" ht="14.25" customHeight="1" x14ac:dyDescent="0.2">
      <c r="A501" s="241" t="s">
        <v>1790</v>
      </c>
      <c r="B501" s="242"/>
      <c r="C501" s="242"/>
      <c r="D501" s="242"/>
      <c r="E501" s="59">
        <v>13</v>
      </c>
    </row>
    <row r="502" spans="1:5" x14ac:dyDescent="0.2">
      <c r="A502" s="56"/>
      <c r="B502" s="85"/>
      <c r="C502" s="85"/>
      <c r="E502" s="57"/>
    </row>
    <row r="503" spans="1:5" s="39" customFormat="1" ht="18.75" customHeight="1" x14ac:dyDescent="0.2">
      <c r="A503" s="64" t="s">
        <v>1126</v>
      </c>
      <c r="B503" s="236" t="s">
        <v>530</v>
      </c>
      <c r="C503" s="236"/>
      <c r="D503" s="236"/>
      <c r="E503" s="236"/>
    </row>
    <row r="504" spans="1:5" s="39" customFormat="1" ht="41.25" customHeight="1" x14ac:dyDescent="0.2">
      <c r="A504" s="41" t="s">
        <v>1128</v>
      </c>
      <c r="B504" s="235" t="s">
        <v>536</v>
      </c>
      <c r="C504" s="235"/>
      <c r="D504" s="235"/>
      <c r="E504" s="235"/>
    </row>
    <row r="505" spans="1:5" ht="14.25" customHeight="1" x14ac:dyDescent="0.2">
      <c r="A505" s="228" t="s">
        <v>1746</v>
      </c>
      <c r="B505" s="229"/>
      <c r="C505" s="229"/>
      <c r="D505" s="229"/>
      <c r="E505" s="58">
        <v>700</v>
      </c>
    </row>
    <row r="506" spans="1:5" ht="14.25" customHeight="1" x14ac:dyDescent="0.2">
      <c r="A506" s="228" t="s">
        <v>1747</v>
      </c>
      <c r="B506" s="229"/>
      <c r="C506" s="229"/>
      <c r="D506" s="229"/>
      <c r="E506" s="58">
        <v>42.3</v>
      </c>
    </row>
    <row r="507" spans="1:5" ht="14.25" customHeight="1" x14ac:dyDescent="0.2">
      <c r="A507" s="230" t="s">
        <v>1751</v>
      </c>
      <c r="B507" s="231"/>
      <c r="C507" s="231"/>
      <c r="D507" s="231"/>
      <c r="E507" s="65">
        <v>700</v>
      </c>
    </row>
    <row r="508" spans="1:5" ht="14.25" customHeight="1" x14ac:dyDescent="0.2">
      <c r="A508" s="241" t="s">
        <v>1752</v>
      </c>
      <c r="B508" s="242"/>
      <c r="C508" s="242"/>
      <c r="D508" s="242"/>
      <c r="E508" s="59">
        <v>657.7</v>
      </c>
    </row>
    <row r="509" spans="1:5" x14ac:dyDescent="0.2">
      <c r="A509" s="56"/>
      <c r="B509" s="85"/>
      <c r="C509" s="85"/>
      <c r="E509" s="57"/>
    </row>
    <row r="510" spans="1:5" s="39" customFormat="1" ht="30.75" customHeight="1" x14ac:dyDescent="0.2">
      <c r="A510" s="41" t="s">
        <v>1129</v>
      </c>
      <c r="B510" s="235" t="s">
        <v>538</v>
      </c>
      <c r="C510" s="235"/>
      <c r="D510" s="235"/>
      <c r="E510" s="235"/>
    </row>
    <row r="511" spans="1:5" ht="14.25" customHeight="1" x14ac:dyDescent="0.2">
      <c r="A511" s="228" t="s">
        <v>1748</v>
      </c>
      <c r="B511" s="229"/>
      <c r="C511" s="229"/>
      <c r="D511" s="229"/>
      <c r="E511" s="58">
        <v>930</v>
      </c>
    </row>
    <row r="512" spans="1:5" ht="14.25" customHeight="1" x14ac:dyDescent="0.2">
      <c r="A512" s="228" t="s">
        <v>1749</v>
      </c>
      <c r="B512" s="229"/>
      <c r="C512" s="229"/>
      <c r="D512" s="229"/>
      <c r="E512" s="58">
        <v>930</v>
      </c>
    </row>
    <row r="513" spans="1:5" ht="14.25" customHeight="1" x14ac:dyDescent="0.2">
      <c r="A513" s="230" t="s">
        <v>1754</v>
      </c>
      <c r="B513" s="231"/>
      <c r="C513" s="231"/>
      <c r="D513" s="231"/>
      <c r="E513" s="65">
        <v>613.29999999999995</v>
      </c>
    </row>
    <row r="514" spans="1:5" ht="14.25" customHeight="1" x14ac:dyDescent="0.2">
      <c r="A514" s="241" t="s">
        <v>1791</v>
      </c>
      <c r="B514" s="242"/>
      <c r="C514" s="242"/>
      <c r="D514" s="242"/>
      <c r="E514" s="59">
        <v>316.70000000000005</v>
      </c>
    </row>
    <row r="515" spans="1:5" x14ac:dyDescent="0.2">
      <c r="A515" s="56"/>
      <c r="B515" s="85"/>
      <c r="C515" s="85"/>
      <c r="E515" s="57"/>
    </row>
    <row r="516" spans="1:5" s="39" customFormat="1" ht="38.25" customHeight="1" x14ac:dyDescent="0.2">
      <c r="A516" s="41" t="s">
        <v>1756</v>
      </c>
      <c r="B516" s="235" t="s">
        <v>1279</v>
      </c>
      <c r="C516" s="235"/>
      <c r="D516" s="235"/>
      <c r="E516" s="235"/>
    </row>
    <row r="517" spans="1:5" ht="14.25" customHeight="1" x14ac:dyDescent="0.2">
      <c r="A517" s="228" t="s">
        <v>1758</v>
      </c>
      <c r="B517" s="229"/>
      <c r="C517" s="229"/>
      <c r="D517" s="229"/>
      <c r="E517" s="58">
        <v>590</v>
      </c>
    </row>
    <row r="518" spans="1:5" ht="14.25" customHeight="1" x14ac:dyDescent="0.2">
      <c r="A518" s="228" t="s">
        <v>1757</v>
      </c>
      <c r="B518" s="229"/>
      <c r="C518" s="229"/>
      <c r="D518" s="229"/>
      <c r="E518" s="58">
        <v>590</v>
      </c>
    </row>
    <row r="519" spans="1:5" ht="14.25" customHeight="1" x14ac:dyDescent="0.2">
      <c r="A519" s="230" t="s">
        <v>1759</v>
      </c>
      <c r="B519" s="231"/>
      <c r="C519" s="231"/>
      <c r="D519" s="231"/>
      <c r="E519" s="65">
        <v>0</v>
      </c>
    </row>
    <row r="520" spans="1:5" ht="14.25" customHeight="1" x14ac:dyDescent="0.2">
      <c r="A520" s="232" t="s">
        <v>1760</v>
      </c>
      <c r="B520" s="233"/>
      <c r="C520" s="233"/>
      <c r="D520" s="233"/>
      <c r="E520" s="175">
        <v>590</v>
      </c>
    </row>
    <row r="521" spans="1:5" x14ac:dyDescent="0.2">
      <c r="A521" s="176"/>
      <c r="B521" s="177"/>
      <c r="C521" s="177"/>
      <c r="D521" s="156"/>
      <c r="E521" s="178"/>
    </row>
    <row r="522" spans="1:5" ht="17.25" hidden="1" customHeight="1" x14ac:dyDescent="0.2">
      <c r="A522" s="40" t="s">
        <v>989</v>
      </c>
      <c r="B522" s="234" t="s">
        <v>653</v>
      </c>
      <c r="C522" s="234"/>
      <c r="D522" s="234"/>
      <c r="E522" s="234"/>
    </row>
    <row r="523" spans="1:5" s="39" customFormat="1" ht="22.5" hidden="1" customHeight="1" x14ac:dyDescent="0.2">
      <c r="A523" s="41" t="s">
        <v>1850</v>
      </c>
      <c r="B523" s="235" t="s">
        <v>681</v>
      </c>
      <c r="C523" s="235"/>
      <c r="D523" s="235"/>
      <c r="E523" s="235"/>
    </row>
    <row r="524" spans="1:5" ht="14.25" hidden="1" customHeight="1" x14ac:dyDescent="0.2">
      <c r="A524" s="228" t="s">
        <v>1851</v>
      </c>
      <c r="B524" s="229"/>
      <c r="C524" s="229"/>
      <c r="D524" s="229"/>
      <c r="E524" s="58" t="e">
        <v>#REF!</v>
      </c>
    </row>
    <row r="525" spans="1:5" ht="14.25" hidden="1" customHeight="1" x14ac:dyDescent="0.2">
      <c r="A525" s="228" t="s">
        <v>1852</v>
      </c>
      <c r="B525" s="229"/>
      <c r="C525" s="229"/>
      <c r="D525" s="229"/>
      <c r="E525" s="58">
        <v>155</v>
      </c>
    </row>
    <row r="526" spans="1:5" ht="14.25" hidden="1" customHeight="1" x14ac:dyDescent="0.2">
      <c r="A526" s="241" t="s">
        <v>1853</v>
      </c>
      <c r="B526" s="242"/>
      <c r="C526" s="242"/>
      <c r="D526" s="242"/>
      <c r="E526" s="59">
        <v>0</v>
      </c>
    </row>
    <row r="527" spans="1:5" ht="14.25" hidden="1" customHeight="1" x14ac:dyDescent="0.2">
      <c r="A527" s="241" t="s">
        <v>1854</v>
      </c>
      <c r="B527" s="242"/>
      <c r="C527" s="242"/>
      <c r="D527" s="242"/>
      <c r="E527" s="59" t="e">
        <v>#REF!</v>
      </c>
    </row>
    <row r="528" spans="1:5" hidden="1" x14ac:dyDescent="0.2">
      <c r="A528" s="56"/>
      <c r="B528" s="85"/>
      <c r="C528" s="85"/>
      <c r="E528" s="57"/>
    </row>
    <row r="529" spans="1:5" ht="17.25" hidden="1" customHeight="1" x14ac:dyDescent="0.2">
      <c r="A529" s="40" t="s">
        <v>1826</v>
      </c>
      <c r="B529" s="234" t="s">
        <v>693</v>
      </c>
      <c r="C529" s="234"/>
      <c r="D529" s="234"/>
      <c r="E529" s="234"/>
    </row>
    <row r="530" spans="1:5" s="39" customFormat="1" ht="22.5" hidden="1" customHeight="1" x14ac:dyDescent="0.2">
      <c r="A530" s="41" t="s">
        <v>1827</v>
      </c>
      <c r="B530" s="235" t="s">
        <v>700</v>
      </c>
      <c r="C530" s="235"/>
      <c r="D530" s="235"/>
      <c r="E530" s="235"/>
    </row>
    <row r="531" spans="1:5" s="49" customFormat="1" ht="14.25" hidden="1" customHeight="1" x14ac:dyDescent="0.2">
      <c r="A531" s="237" t="s">
        <v>1828</v>
      </c>
      <c r="B531" s="238"/>
      <c r="C531" s="238"/>
      <c r="D531" s="238"/>
      <c r="E531" s="69">
        <v>153.66</v>
      </c>
    </row>
    <row r="532" spans="1:5" s="49" customFormat="1" ht="15.75" hidden="1" customHeight="1" x14ac:dyDescent="0.2">
      <c r="A532" s="237" t="s">
        <v>1829</v>
      </c>
      <c r="B532" s="238"/>
      <c r="C532" s="238"/>
      <c r="D532" s="238"/>
      <c r="E532" s="69">
        <v>153.66</v>
      </c>
    </row>
    <row r="533" spans="1:5" s="39" customFormat="1" ht="15" hidden="1" customHeight="1" x14ac:dyDescent="0.2">
      <c r="A533" s="237" t="s">
        <v>1830</v>
      </c>
      <c r="B533" s="238"/>
      <c r="C533" s="238"/>
      <c r="D533" s="238"/>
      <c r="E533" s="46">
        <v>0</v>
      </c>
    </row>
    <row r="534" spans="1:5" s="39" customFormat="1" ht="15" hidden="1" customHeight="1" x14ac:dyDescent="0.2">
      <c r="A534" s="239" t="s">
        <v>1831</v>
      </c>
      <c r="B534" s="240"/>
      <c r="C534" s="240"/>
      <c r="D534" s="240"/>
      <c r="E534" s="68">
        <v>153.66</v>
      </c>
    </row>
    <row r="535" spans="1:5" hidden="1" x14ac:dyDescent="0.2">
      <c r="A535" s="176"/>
      <c r="B535" s="177"/>
      <c r="C535" s="177"/>
      <c r="D535" s="156"/>
      <c r="E535" s="178"/>
    </row>
    <row r="536" spans="1:5" ht="17.25" customHeight="1" x14ac:dyDescent="0.2">
      <c r="A536" s="40" t="s">
        <v>1816</v>
      </c>
      <c r="B536" s="234" t="s">
        <v>713</v>
      </c>
      <c r="C536" s="234"/>
      <c r="D536" s="234"/>
      <c r="E536" s="234"/>
    </row>
    <row r="537" spans="1:5" s="39" customFormat="1" ht="18.75" customHeight="1" x14ac:dyDescent="0.2">
      <c r="A537" s="64" t="s">
        <v>1817</v>
      </c>
      <c r="B537" s="236" t="s">
        <v>715</v>
      </c>
      <c r="C537" s="236"/>
      <c r="D537" s="236"/>
      <c r="E537" s="236"/>
    </row>
    <row r="538" spans="1:5" s="39" customFormat="1" ht="22.5" customHeight="1" x14ac:dyDescent="0.2">
      <c r="A538" s="41" t="s">
        <v>1820</v>
      </c>
      <c r="B538" s="235" t="s">
        <v>717</v>
      </c>
      <c r="C538" s="235"/>
      <c r="D538" s="235"/>
      <c r="E538" s="235"/>
    </row>
    <row r="539" spans="1:5" s="49" customFormat="1" ht="14.25" customHeight="1" x14ac:dyDescent="0.2">
      <c r="A539" s="237" t="s">
        <v>1822</v>
      </c>
      <c r="B539" s="238"/>
      <c r="C539" s="238"/>
      <c r="D539" s="238"/>
      <c r="E539" s="69">
        <v>1150</v>
      </c>
    </row>
    <row r="540" spans="1:5" s="49" customFormat="1" ht="15.75" customHeight="1" x14ac:dyDescent="0.2">
      <c r="A540" s="237" t="s">
        <v>1823</v>
      </c>
      <c r="B540" s="238"/>
      <c r="C540" s="238"/>
      <c r="D540" s="238"/>
      <c r="E540" s="69">
        <v>1150</v>
      </c>
    </row>
    <row r="541" spans="1:5" s="39" customFormat="1" ht="15" customHeight="1" x14ac:dyDescent="0.2">
      <c r="A541" s="237" t="s">
        <v>1824</v>
      </c>
      <c r="B541" s="238"/>
      <c r="C541" s="238"/>
      <c r="D541" s="238"/>
      <c r="E541" s="46">
        <v>0</v>
      </c>
    </row>
    <row r="542" spans="1:5" s="39" customFormat="1" ht="15" customHeight="1" x14ac:dyDescent="0.2">
      <c r="A542" s="239" t="s">
        <v>1825</v>
      </c>
      <c r="B542" s="240"/>
      <c r="C542" s="240"/>
      <c r="D542" s="240"/>
      <c r="E542" s="68">
        <v>1150</v>
      </c>
    </row>
    <row r="543" spans="1:5" x14ac:dyDescent="0.2">
      <c r="A543" s="176"/>
      <c r="B543" s="177"/>
      <c r="C543" s="177"/>
      <c r="D543" s="156"/>
      <c r="E543" s="178"/>
    </row>
    <row r="544" spans="1:5" ht="17.25" customHeight="1" x14ac:dyDescent="0.2">
      <c r="A544" s="40" t="s">
        <v>1016</v>
      </c>
      <c r="B544" s="234" t="s">
        <v>729</v>
      </c>
      <c r="C544" s="234"/>
      <c r="D544" s="234"/>
      <c r="E544" s="234"/>
    </row>
    <row r="545" spans="1:5" ht="17.25" customHeight="1" x14ac:dyDescent="0.2">
      <c r="A545" s="40" t="s">
        <v>1333</v>
      </c>
      <c r="B545" s="234" t="s">
        <v>756</v>
      </c>
      <c r="C545" s="234"/>
      <c r="D545" s="234"/>
      <c r="E545" s="234"/>
    </row>
    <row r="546" spans="1:5" s="39" customFormat="1" ht="34.5" customHeight="1" x14ac:dyDescent="0.2">
      <c r="A546" s="41" t="s">
        <v>1832</v>
      </c>
      <c r="B546" s="235" t="s">
        <v>762</v>
      </c>
      <c r="C546" s="235"/>
      <c r="D546" s="235"/>
      <c r="E546" s="235"/>
    </row>
    <row r="547" spans="1:5" ht="14.25" customHeight="1" x14ac:dyDescent="0.2">
      <c r="A547" s="228" t="s">
        <v>1839</v>
      </c>
      <c r="B547" s="229"/>
      <c r="C547" s="229"/>
      <c r="D547" s="229"/>
      <c r="E547" s="58">
        <v>164</v>
      </c>
    </row>
    <row r="548" spans="1:5" ht="14.25" customHeight="1" x14ac:dyDescent="0.2">
      <c r="A548" s="228" t="s">
        <v>1840</v>
      </c>
      <c r="B548" s="229"/>
      <c r="C548" s="229"/>
      <c r="D548" s="229"/>
      <c r="E548" s="58">
        <v>179.25</v>
      </c>
    </row>
    <row r="549" spans="1:5" ht="14.25" customHeight="1" x14ac:dyDescent="0.2">
      <c r="A549" s="230" t="s">
        <v>1841</v>
      </c>
      <c r="B549" s="231"/>
      <c r="C549" s="231"/>
      <c r="D549" s="231"/>
      <c r="E549" s="65">
        <v>0</v>
      </c>
    </row>
    <row r="550" spans="1:5" ht="14.25" customHeight="1" x14ac:dyDescent="0.2">
      <c r="A550" s="241" t="s">
        <v>1849</v>
      </c>
      <c r="B550" s="242"/>
      <c r="C550" s="242"/>
      <c r="D550" s="242"/>
      <c r="E550" s="59">
        <v>164</v>
      </c>
    </row>
    <row r="551" spans="1:5" x14ac:dyDescent="0.2">
      <c r="A551" s="56"/>
      <c r="B551" s="85"/>
      <c r="C551" s="85"/>
      <c r="E551" s="57"/>
    </row>
    <row r="552" spans="1:5" s="39" customFormat="1" ht="34.5" customHeight="1" x14ac:dyDescent="0.2">
      <c r="A552" s="41" t="s">
        <v>1836</v>
      </c>
      <c r="B552" s="235" t="s">
        <v>764</v>
      </c>
      <c r="C552" s="235"/>
      <c r="D552" s="235"/>
      <c r="E552" s="235"/>
    </row>
    <row r="553" spans="1:5" ht="14.25" customHeight="1" x14ac:dyDescent="0.2">
      <c r="A553" s="228" t="s">
        <v>1843</v>
      </c>
      <c r="B553" s="229"/>
      <c r="C553" s="229"/>
      <c r="D553" s="229"/>
      <c r="E553" s="58">
        <v>5.0199999999999996</v>
      </c>
    </row>
    <row r="554" spans="1:5" ht="14.25" customHeight="1" x14ac:dyDescent="0.2">
      <c r="A554" s="228" t="s">
        <v>1845</v>
      </c>
      <c r="B554" s="229"/>
      <c r="C554" s="229"/>
      <c r="D554" s="229"/>
      <c r="E554" s="58">
        <v>2.39</v>
      </c>
    </row>
    <row r="555" spans="1:5" ht="14.25" customHeight="1" x14ac:dyDescent="0.2">
      <c r="A555" s="230" t="s">
        <v>1844</v>
      </c>
      <c r="B555" s="231"/>
      <c r="C555" s="231"/>
      <c r="D555" s="231"/>
      <c r="E555" s="65">
        <v>0.22</v>
      </c>
    </row>
    <row r="556" spans="1:5" ht="14.25" customHeight="1" x14ac:dyDescent="0.2">
      <c r="A556" s="241" t="s">
        <v>1846</v>
      </c>
      <c r="B556" s="242"/>
      <c r="C556" s="242"/>
      <c r="D556" s="242"/>
      <c r="E556" s="59">
        <v>2.17</v>
      </c>
    </row>
    <row r="557" spans="1:5" ht="14.25" customHeight="1" x14ac:dyDescent="0.2">
      <c r="A557" s="243" t="s">
        <v>1848</v>
      </c>
      <c r="B557" s="244"/>
      <c r="C557" s="244"/>
      <c r="D557" s="244"/>
      <c r="E557" s="87">
        <v>-2.6299999999999994</v>
      </c>
    </row>
    <row r="558" spans="1:5" x14ac:dyDescent="0.2">
      <c r="A558" s="56"/>
      <c r="B558" s="85"/>
      <c r="C558" s="85"/>
      <c r="E558" s="57"/>
    </row>
    <row r="559" spans="1:5" s="39" customFormat="1" ht="34.5" customHeight="1" x14ac:dyDescent="0.2">
      <c r="A559" s="41" t="s">
        <v>1334</v>
      </c>
      <c r="B559" s="235" t="s">
        <v>1283</v>
      </c>
      <c r="C559" s="235"/>
      <c r="D559" s="235"/>
      <c r="E559" s="235"/>
    </row>
    <row r="560" spans="1:5" ht="14.25" customHeight="1" x14ac:dyDescent="0.2">
      <c r="A560" s="228" t="s">
        <v>1343</v>
      </c>
      <c r="B560" s="229"/>
      <c r="C560" s="229"/>
      <c r="D560" s="229"/>
      <c r="E560" s="58">
        <v>126</v>
      </c>
    </row>
    <row r="561" spans="1:5" ht="14.25" customHeight="1" x14ac:dyDescent="0.2">
      <c r="A561" s="228" t="s">
        <v>1336</v>
      </c>
      <c r="B561" s="229"/>
      <c r="C561" s="229"/>
      <c r="D561" s="229"/>
      <c r="E561" s="58">
        <v>126</v>
      </c>
    </row>
    <row r="562" spans="1:5" ht="14.25" customHeight="1" x14ac:dyDescent="0.2">
      <c r="A562" s="230" t="s">
        <v>1798</v>
      </c>
      <c r="B562" s="231"/>
      <c r="C562" s="231"/>
      <c r="D562" s="231"/>
      <c r="E562" s="65">
        <v>0</v>
      </c>
    </row>
    <row r="563" spans="1:5" ht="14.25" customHeight="1" x14ac:dyDescent="0.2">
      <c r="A563" s="241" t="s">
        <v>1813</v>
      </c>
      <c r="B563" s="242"/>
      <c r="C563" s="242"/>
      <c r="D563" s="242"/>
      <c r="E563" s="59">
        <v>126</v>
      </c>
    </row>
    <row r="564" spans="1:5" x14ac:dyDescent="0.2">
      <c r="A564" s="56"/>
      <c r="B564" s="85"/>
      <c r="C564" s="85"/>
      <c r="E564" s="57"/>
    </row>
    <row r="565" spans="1:5" s="39" customFormat="1" ht="34.5" customHeight="1" x14ac:dyDescent="0.2">
      <c r="A565" s="41" t="s">
        <v>1337</v>
      </c>
      <c r="B565" s="235" t="s">
        <v>103</v>
      </c>
      <c r="C565" s="235"/>
      <c r="D565" s="235"/>
      <c r="E565" s="235"/>
    </row>
    <row r="566" spans="1:5" ht="14.25" customHeight="1" x14ac:dyDescent="0.2">
      <c r="A566" s="228" t="s">
        <v>1344</v>
      </c>
      <c r="B566" s="229"/>
      <c r="C566" s="229"/>
      <c r="D566" s="229"/>
      <c r="E566" s="58">
        <v>123.4</v>
      </c>
    </row>
    <row r="567" spans="1:5" ht="14.25" customHeight="1" x14ac:dyDescent="0.2">
      <c r="A567" s="228" t="s">
        <v>1345</v>
      </c>
      <c r="B567" s="229"/>
      <c r="C567" s="229"/>
      <c r="D567" s="229"/>
      <c r="E567" s="58">
        <v>123.4</v>
      </c>
    </row>
    <row r="568" spans="1:5" ht="14.25" customHeight="1" x14ac:dyDescent="0.2">
      <c r="A568" s="230" t="s">
        <v>1800</v>
      </c>
      <c r="B568" s="231"/>
      <c r="C568" s="231"/>
      <c r="D568" s="231"/>
      <c r="E568" s="65">
        <v>0</v>
      </c>
    </row>
    <row r="569" spans="1:5" ht="14.25" customHeight="1" x14ac:dyDescent="0.2">
      <c r="A569" s="241" t="s">
        <v>1814</v>
      </c>
      <c r="B569" s="242"/>
      <c r="C569" s="242"/>
      <c r="D569" s="242"/>
      <c r="E569" s="59">
        <v>123.4</v>
      </c>
    </row>
    <row r="570" spans="1:5" x14ac:dyDescent="0.2">
      <c r="A570" s="56"/>
      <c r="B570" s="85"/>
      <c r="C570" s="85"/>
      <c r="E570" s="57"/>
    </row>
    <row r="571" spans="1:5" ht="17.25" customHeight="1" x14ac:dyDescent="0.2">
      <c r="A571" s="40" t="s">
        <v>968</v>
      </c>
      <c r="B571" s="234" t="s">
        <v>693</v>
      </c>
      <c r="C571" s="234"/>
      <c r="D571" s="234"/>
      <c r="E571" s="234"/>
    </row>
    <row r="572" spans="1:5" s="39" customFormat="1" ht="33.75" customHeight="1" x14ac:dyDescent="0.2">
      <c r="A572" s="41" t="s">
        <v>972</v>
      </c>
      <c r="B572" s="235" t="s">
        <v>794</v>
      </c>
      <c r="C572" s="235"/>
      <c r="D572" s="235"/>
      <c r="E572" s="235"/>
    </row>
    <row r="573" spans="1:5" s="49" customFormat="1" ht="14.25" customHeight="1" x14ac:dyDescent="0.2">
      <c r="A573" s="237" t="s">
        <v>970</v>
      </c>
      <c r="B573" s="238"/>
      <c r="C573" s="238"/>
      <c r="D573" s="238"/>
      <c r="E573" s="69">
        <v>3.7460000000000004</v>
      </c>
    </row>
    <row r="574" spans="1:5" s="49" customFormat="1" ht="15.75" customHeight="1" x14ac:dyDescent="0.2">
      <c r="A574" s="237" t="s">
        <v>969</v>
      </c>
      <c r="B574" s="238"/>
      <c r="C574" s="238"/>
      <c r="D574" s="238"/>
      <c r="E574" s="69">
        <v>3.75</v>
      </c>
    </row>
    <row r="575" spans="1:5" s="39" customFormat="1" ht="15" customHeight="1" x14ac:dyDescent="0.2">
      <c r="A575" s="237" t="s">
        <v>1888</v>
      </c>
      <c r="B575" s="238"/>
      <c r="C575" s="238"/>
      <c r="D575" s="238"/>
      <c r="E575" s="46">
        <v>3.2</v>
      </c>
    </row>
    <row r="576" spans="1:5" s="39" customFormat="1" ht="15" customHeight="1" x14ac:dyDescent="0.2">
      <c r="A576" s="239" t="s">
        <v>1889</v>
      </c>
      <c r="B576" s="240"/>
      <c r="C576" s="240"/>
      <c r="D576" s="240"/>
      <c r="E576" s="68">
        <v>0.54600000000000026</v>
      </c>
    </row>
    <row r="577" spans="1:5" x14ac:dyDescent="0.2">
      <c r="A577" s="75"/>
      <c r="B577" s="76"/>
      <c r="C577" s="76"/>
      <c r="D577" s="42"/>
      <c r="E577" s="77"/>
    </row>
    <row r="578" spans="1:5" s="39" customFormat="1" ht="34.5" customHeight="1" x14ac:dyDescent="0.2">
      <c r="A578" s="41" t="s">
        <v>974</v>
      </c>
      <c r="B578" s="235" t="s">
        <v>1341</v>
      </c>
      <c r="C578" s="235"/>
      <c r="D578" s="235"/>
      <c r="E578" s="235"/>
    </row>
    <row r="579" spans="1:5" ht="14.25" customHeight="1" x14ac:dyDescent="0.2">
      <c r="A579" s="228" t="s">
        <v>1795</v>
      </c>
      <c r="B579" s="229"/>
      <c r="C579" s="229"/>
      <c r="D579" s="229"/>
      <c r="E579" s="58">
        <v>152.98999999999998</v>
      </c>
    </row>
    <row r="580" spans="1:5" ht="14.25" customHeight="1" x14ac:dyDescent="0.2">
      <c r="A580" s="228" t="s">
        <v>1342</v>
      </c>
      <c r="B580" s="229"/>
      <c r="C580" s="229"/>
      <c r="D580" s="229"/>
      <c r="E580" s="58">
        <v>89.46</v>
      </c>
    </row>
    <row r="581" spans="1:5" ht="14.25" customHeight="1" x14ac:dyDescent="0.2">
      <c r="A581" s="230" t="s">
        <v>1796</v>
      </c>
      <c r="B581" s="231"/>
      <c r="C581" s="231"/>
      <c r="D581" s="231"/>
      <c r="E581" s="65">
        <v>89.46</v>
      </c>
    </row>
    <row r="582" spans="1:5" ht="14.25" customHeight="1" x14ac:dyDescent="0.2">
      <c r="A582" s="241" t="s">
        <v>1815</v>
      </c>
      <c r="B582" s="242"/>
      <c r="C582" s="242"/>
      <c r="D582" s="242"/>
      <c r="E582" s="59">
        <v>63.529999999999987</v>
      </c>
    </row>
    <row r="583" spans="1:5" x14ac:dyDescent="0.2">
      <c r="A583" s="56"/>
      <c r="B583" s="85"/>
      <c r="C583" s="85"/>
      <c r="E583" s="57"/>
    </row>
    <row r="584" spans="1:5" ht="17.25" customHeight="1" x14ac:dyDescent="0.2">
      <c r="A584" s="40" t="s">
        <v>1803</v>
      </c>
      <c r="B584" s="234" t="s">
        <v>204</v>
      </c>
      <c r="C584" s="234"/>
      <c r="D584" s="234"/>
      <c r="E584" s="234"/>
    </row>
    <row r="585" spans="1:5" s="39" customFormat="1" ht="34.5" customHeight="1" x14ac:dyDescent="0.2">
      <c r="A585" s="41" t="s">
        <v>1804</v>
      </c>
      <c r="B585" s="235" t="s">
        <v>216</v>
      </c>
      <c r="C585" s="235"/>
      <c r="D585" s="235"/>
      <c r="E585" s="235"/>
    </row>
    <row r="586" spans="1:5" ht="14.25" customHeight="1" x14ac:dyDescent="0.2">
      <c r="A586" s="228" t="s">
        <v>1806</v>
      </c>
      <c r="B586" s="229"/>
      <c r="C586" s="229"/>
      <c r="D586" s="229"/>
      <c r="E586" s="58">
        <v>247.89</v>
      </c>
    </row>
    <row r="587" spans="1:5" ht="14.25" customHeight="1" x14ac:dyDescent="0.2">
      <c r="A587" s="228" t="s">
        <v>1807</v>
      </c>
      <c r="B587" s="229"/>
      <c r="C587" s="229"/>
      <c r="D587" s="229"/>
      <c r="E587" s="58">
        <v>247.89</v>
      </c>
    </row>
    <row r="588" spans="1:5" ht="14.25" customHeight="1" x14ac:dyDescent="0.2">
      <c r="A588" s="228" t="s">
        <v>1808</v>
      </c>
      <c r="B588" s="229"/>
      <c r="C588" s="229"/>
      <c r="D588" s="229"/>
      <c r="E588" s="58">
        <v>0</v>
      </c>
    </row>
    <row r="589" spans="1:5" ht="14.25" customHeight="1" x14ac:dyDescent="0.2">
      <c r="A589" s="241" t="s">
        <v>1809</v>
      </c>
      <c r="B589" s="242"/>
      <c r="C589" s="242"/>
      <c r="D589" s="242"/>
      <c r="E589" s="59">
        <v>247.89</v>
      </c>
    </row>
    <row r="590" spans="1:5" x14ac:dyDescent="0.2">
      <c r="A590" s="56"/>
      <c r="B590" s="85"/>
      <c r="C590" s="85"/>
      <c r="E590" s="57"/>
    </row>
    <row r="591" spans="1:5" s="39" customFormat="1" ht="33" customHeight="1" x14ac:dyDescent="0.2">
      <c r="A591" s="41" t="s">
        <v>1810</v>
      </c>
      <c r="B591" s="235" t="s">
        <v>810</v>
      </c>
      <c r="C591" s="235"/>
      <c r="D591" s="235"/>
      <c r="E591" s="235"/>
    </row>
    <row r="592" spans="1:5" ht="14.25" customHeight="1" x14ac:dyDescent="0.2">
      <c r="A592" s="228" t="s">
        <v>1040</v>
      </c>
      <c r="B592" s="229"/>
      <c r="C592" s="229"/>
      <c r="D592" s="229"/>
      <c r="E592" s="58">
        <v>247.89</v>
      </c>
    </row>
    <row r="593" spans="1:5" ht="14.25" customHeight="1" x14ac:dyDescent="0.2">
      <c r="A593" s="228" t="s">
        <v>1041</v>
      </c>
      <c r="B593" s="229"/>
      <c r="C593" s="229"/>
      <c r="D593" s="229"/>
      <c r="E593" s="58">
        <v>247.89</v>
      </c>
    </row>
    <row r="594" spans="1:5" ht="14.25" customHeight="1" x14ac:dyDescent="0.2">
      <c r="A594" s="228" t="s">
        <v>1811</v>
      </c>
      <c r="B594" s="229"/>
      <c r="C594" s="229"/>
      <c r="D594" s="229"/>
      <c r="E594" s="58">
        <v>0</v>
      </c>
    </row>
    <row r="595" spans="1:5" ht="14.25" customHeight="1" x14ac:dyDescent="0.2">
      <c r="A595" s="241" t="s">
        <v>1812</v>
      </c>
      <c r="B595" s="242"/>
      <c r="C595" s="242"/>
      <c r="D595" s="242"/>
      <c r="E595" s="59">
        <v>247.89</v>
      </c>
    </row>
    <row r="596" spans="1:5" x14ac:dyDescent="0.2">
      <c r="A596" s="56"/>
      <c r="B596" s="85"/>
      <c r="C596" s="85"/>
      <c r="E596" s="57"/>
    </row>
    <row r="597" spans="1:5" s="39" customFormat="1" ht="42.6" hidden="1" customHeight="1" x14ac:dyDescent="0.2">
      <c r="A597" s="41" t="s">
        <v>1128</v>
      </c>
      <c r="B597" s="235" t="s">
        <v>536</v>
      </c>
      <c r="C597" s="235"/>
      <c r="D597" s="235"/>
      <c r="E597" s="235"/>
    </row>
    <row r="598" spans="1:5" ht="14.25" hidden="1" customHeight="1" x14ac:dyDescent="0.2">
      <c r="A598" s="228" t="s">
        <v>1127</v>
      </c>
      <c r="B598" s="229"/>
      <c r="C598" s="229"/>
      <c r="D598" s="229"/>
      <c r="E598" s="58" t="e">
        <f>#REF!</f>
        <v>#REF!</v>
      </c>
    </row>
    <row r="599" spans="1:5" ht="14.25" hidden="1" customHeight="1" x14ac:dyDescent="0.2">
      <c r="A599" s="228" t="s">
        <v>1130</v>
      </c>
      <c r="B599" s="229"/>
      <c r="C599" s="229"/>
      <c r="D599" s="229"/>
      <c r="E599" s="58">
        <v>42.3</v>
      </c>
    </row>
    <row r="600" spans="1:5" ht="14.25" hidden="1" customHeight="1" x14ac:dyDescent="0.2">
      <c r="A600" s="230" t="s">
        <v>1131</v>
      </c>
      <c r="B600" s="231"/>
      <c r="C600" s="231"/>
      <c r="D600" s="231"/>
      <c r="E600" s="65">
        <v>0</v>
      </c>
    </row>
    <row r="601" spans="1:5" ht="14.25" hidden="1" customHeight="1" x14ac:dyDescent="0.2">
      <c r="A601" s="241" t="s">
        <v>1132</v>
      </c>
      <c r="B601" s="242"/>
      <c r="C601" s="242"/>
      <c r="D601" s="242"/>
      <c r="E601" s="59" t="e">
        <f>E598-E600</f>
        <v>#REF!</v>
      </c>
    </row>
    <row r="602" spans="1:5" hidden="1" x14ac:dyDescent="0.2">
      <c r="A602" s="56"/>
      <c r="B602" s="85"/>
      <c r="C602" s="85"/>
      <c r="E602" s="57"/>
    </row>
    <row r="603" spans="1:5" s="39" customFormat="1" ht="49.5" hidden="1" customHeight="1" x14ac:dyDescent="0.2">
      <c r="A603" s="41" t="s">
        <v>1129</v>
      </c>
      <c r="B603" s="235" t="s">
        <v>430</v>
      </c>
      <c r="C603" s="235"/>
      <c r="D603" s="235"/>
      <c r="E603" s="235"/>
    </row>
    <row r="604" spans="1:5" ht="14.25" hidden="1" customHeight="1" x14ac:dyDescent="0.2">
      <c r="A604" s="228" t="s">
        <v>1127</v>
      </c>
      <c r="B604" s="229"/>
      <c r="C604" s="229"/>
      <c r="D604" s="229"/>
      <c r="E604" s="58" t="e">
        <f>#REF!</f>
        <v>#REF!</v>
      </c>
    </row>
    <row r="605" spans="1:5" ht="14.25" hidden="1" customHeight="1" x14ac:dyDescent="0.2">
      <c r="A605" s="228" t="s">
        <v>1130</v>
      </c>
      <c r="B605" s="229"/>
      <c r="C605" s="229"/>
      <c r="D605" s="229"/>
      <c r="E605" s="58">
        <v>613.29999999999995</v>
      </c>
    </row>
    <row r="606" spans="1:5" ht="14.25" hidden="1" customHeight="1" x14ac:dyDescent="0.2">
      <c r="A606" s="230" t="s">
        <v>1131</v>
      </c>
      <c r="B606" s="231"/>
      <c r="C606" s="231"/>
      <c r="D606" s="231"/>
      <c r="E606" s="65">
        <v>0</v>
      </c>
    </row>
    <row r="607" spans="1:5" ht="14.25" hidden="1" customHeight="1" x14ac:dyDescent="0.2">
      <c r="A607" s="241" t="s">
        <v>1132</v>
      </c>
      <c r="B607" s="242"/>
      <c r="C607" s="242"/>
      <c r="D607" s="242"/>
      <c r="E607" s="59" t="e">
        <f>E604-E606</f>
        <v>#REF!</v>
      </c>
    </row>
    <row r="608" spans="1:5" x14ac:dyDescent="0.2">
      <c r="A608" s="75"/>
      <c r="B608" s="76"/>
      <c r="C608" s="76"/>
      <c r="D608" s="42"/>
      <c r="E608" s="77"/>
    </row>
    <row r="609" spans="1:5" s="39" customFormat="1" ht="18.75" hidden="1" customHeight="1" x14ac:dyDescent="0.2">
      <c r="A609" s="64" t="s">
        <v>943</v>
      </c>
      <c r="B609" s="236" t="s">
        <v>436</v>
      </c>
      <c r="C609" s="236"/>
      <c r="D609" s="236"/>
      <c r="E609" s="236"/>
    </row>
    <row r="610" spans="1:5" s="39" customFormat="1" ht="39" hidden="1" customHeight="1" x14ac:dyDescent="0.2">
      <c r="A610" s="41" t="s">
        <v>944</v>
      </c>
      <c r="B610" s="235" t="s">
        <v>440</v>
      </c>
      <c r="C610" s="235"/>
      <c r="D610" s="235"/>
      <c r="E610" s="235"/>
    </row>
    <row r="611" spans="1:5" ht="14.25" hidden="1" customHeight="1" x14ac:dyDescent="0.2">
      <c r="A611" s="228" t="s">
        <v>945</v>
      </c>
      <c r="B611" s="229"/>
      <c r="C611" s="229"/>
      <c r="D611" s="229"/>
      <c r="E611" s="58" t="e">
        <f>#REF!</f>
        <v>#REF!</v>
      </c>
    </row>
    <row r="612" spans="1:5" ht="14.25" hidden="1" customHeight="1" x14ac:dyDescent="0.2">
      <c r="A612" s="228" t="s">
        <v>946</v>
      </c>
      <c r="B612" s="229"/>
      <c r="C612" s="229"/>
      <c r="D612" s="229"/>
      <c r="E612" s="58">
        <v>21</v>
      </c>
    </row>
    <row r="613" spans="1:5" ht="14.25" hidden="1" customHeight="1" x14ac:dyDescent="0.2">
      <c r="A613" s="230" t="s">
        <v>947</v>
      </c>
      <c r="B613" s="231"/>
      <c r="C613" s="231"/>
      <c r="D613" s="231"/>
      <c r="E613" s="65">
        <v>0</v>
      </c>
    </row>
    <row r="614" spans="1:5" ht="14.25" hidden="1" customHeight="1" x14ac:dyDescent="0.2">
      <c r="A614" s="241" t="s">
        <v>948</v>
      </c>
      <c r="B614" s="242"/>
      <c r="C614" s="242"/>
      <c r="D614" s="242"/>
      <c r="E614" s="59" t="e">
        <f>E611-E613</f>
        <v>#REF!</v>
      </c>
    </row>
    <row r="615" spans="1:5" hidden="1" x14ac:dyDescent="0.2">
      <c r="A615" s="75"/>
      <c r="B615" s="76"/>
      <c r="C615" s="76"/>
      <c r="D615" s="42"/>
      <c r="E615" s="77"/>
    </row>
    <row r="616" spans="1:5" s="39" customFormat="1" ht="18.75" hidden="1" customHeight="1" x14ac:dyDescent="0.2">
      <c r="A616" s="64" t="s">
        <v>923</v>
      </c>
      <c r="B616" s="236" t="s">
        <v>470</v>
      </c>
      <c r="C616" s="236"/>
      <c r="D616" s="236"/>
      <c r="E616" s="236"/>
    </row>
    <row r="617" spans="1:5" s="39" customFormat="1" ht="39" hidden="1" customHeight="1" x14ac:dyDescent="0.2">
      <c r="A617" s="41" t="s">
        <v>924</v>
      </c>
      <c r="B617" s="235" t="s">
        <v>476</v>
      </c>
      <c r="C617" s="235"/>
      <c r="D617" s="235"/>
      <c r="E617" s="235"/>
    </row>
    <row r="618" spans="1:5" ht="14.25" hidden="1" customHeight="1" x14ac:dyDescent="0.2">
      <c r="A618" s="228" t="s">
        <v>925</v>
      </c>
      <c r="B618" s="229"/>
      <c r="C618" s="229"/>
      <c r="D618" s="229"/>
      <c r="E618" s="58" t="e">
        <f>#REF!</f>
        <v>#REF!</v>
      </c>
    </row>
    <row r="619" spans="1:5" ht="14.25" hidden="1" customHeight="1" x14ac:dyDescent="0.2">
      <c r="A619" s="228" t="s">
        <v>928</v>
      </c>
      <c r="B619" s="229"/>
      <c r="C619" s="229"/>
      <c r="D619" s="229"/>
      <c r="E619" s="58">
        <v>9</v>
      </c>
    </row>
    <row r="620" spans="1:5" ht="14.25" hidden="1" customHeight="1" x14ac:dyDescent="0.2">
      <c r="A620" s="230" t="s">
        <v>926</v>
      </c>
      <c r="B620" s="231"/>
      <c r="C620" s="231"/>
      <c r="D620" s="231"/>
      <c r="E620" s="65">
        <v>0</v>
      </c>
    </row>
    <row r="621" spans="1:5" ht="14.25" hidden="1" customHeight="1" x14ac:dyDescent="0.2">
      <c r="A621" s="241" t="s">
        <v>927</v>
      </c>
      <c r="B621" s="242"/>
      <c r="C621" s="242"/>
      <c r="D621" s="242"/>
      <c r="E621" s="59" t="e">
        <f>E618-E620</f>
        <v>#REF!</v>
      </c>
    </row>
    <row r="622" spans="1:5" hidden="1" x14ac:dyDescent="0.2">
      <c r="A622" s="75"/>
      <c r="B622" s="76"/>
      <c r="C622" s="76"/>
      <c r="D622" s="42"/>
      <c r="E622" s="77"/>
    </row>
    <row r="623" spans="1:5" s="39" customFormat="1" ht="39" hidden="1" customHeight="1" x14ac:dyDescent="0.2">
      <c r="A623" s="41" t="s">
        <v>929</v>
      </c>
      <c r="B623" s="235" t="s">
        <v>500</v>
      </c>
      <c r="C623" s="235"/>
      <c r="D623" s="235"/>
      <c r="E623" s="235"/>
    </row>
    <row r="624" spans="1:5" ht="14.25" hidden="1" customHeight="1" x14ac:dyDescent="0.2">
      <c r="A624" s="228" t="s">
        <v>930</v>
      </c>
      <c r="B624" s="229"/>
      <c r="C624" s="229"/>
      <c r="D624" s="229"/>
      <c r="E624" s="58" t="e">
        <f>#REF!</f>
        <v>#REF!</v>
      </c>
    </row>
    <row r="625" spans="1:5" ht="14.25" hidden="1" customHeight="1" x14ac:dyDescent="0.2">
      <c r="A625" s="228" t="s">
        <v>931</v>
      </c>
      <c r="B625" s="229"/>
      <c r="C625" s="229"/>
      <c r="D625" s="229"/>
      <c r="E625" s="58">
        <v>5</v>
      </c>
    </row>
    <row r="626" spans="1:5" ht="14.25" hidden="1" customHeight="1" x14ac:dyDescent="0.2">
      <c r="A626" s="230" t="s">
        <v>932</v>
      </c>
      <c r="B626" s="231"/>
      <c r="C626" s="231"/>
      <c r="D626" s="231"/>
      <c r="E626" s="65">
        <v>0</v>
      </c>
    </row>
    <row r="627" spans="1:5" ht="14.25" hidden="1" customHeight="1" x14ac:dyDescent="0.2">
      <c r="A627" s="241" t="s">
        <v>933</v>
      </c>
      <c r="B627" s="242"/>
      <c r="C627" s="242"/>
      <c r="D627" s="242"/>
      <c r="E627" s="59">
        <v>5</v>
      </c>
    </row>
    <row r="628" spans="1:5" ht="14.25" hidden="1" customHeight="1" x14ac:dyDescent="0.2">
      <c r="A628" s="243" t="s">
        <v>934</v>
      </c>
      <c r="B628" s="244"/>
      <c r="C628" s="244"/>
      <c r="D628" s="244"/>
      <c r="E628" s="87" t="e">
        <f>E625-E624</f>
        <v>#REF!</v>
      </c>
    </row>
    <row r="629" spans="1:5" hidden="1" x14ac:dyDescent="0.2">
      <c r="A629" s="75"/>
      <c r="B629" s="76"/>
      <c r="C629" s="76"/>
      <c r="D629" s="42"/>
      <c r="E629" s="77"/>
    </row>
    <row r="630" spans="1:5" s="39" customFormat="1" ht="39" hidden="1" customHeight="1" x14ac:dyDescent="0.2">
      <c r="A630" s="41" t="s">
        <v>507</v>
      </c>
      <c r="B630" s="235" t="s">
        <v>508</v>
      </c>
      <c r="C630" s="235"/>
      <c r="D630" s="235"/>
      <c r="E630" s="235"/>
    </row>
    <row r="631" spans="1:5" ht="14.25" hidden="1" customHeight="1" x14ac:dyDescent="0.2">
      <c r="A631" s="228" t="s">
        <v>935</v>
      </c>
      <c r="B631" s="229"/>
      <c r="C631" s="229"/>
      <c r="D631" s="229"/>
      <c r="E631" s="58" t="e">
        <f>#REF!</f>
        <v>#REF!</v>
      </c>
    </row>
    <row r="632" spans="1:5" ht="14.25" hidden="1" customHeight="1" x14ac:dyDescent="0.2">
      <c r="A632" s="228" t="s">
        <v>936</v>
      </c>
      <c r="B632" s="229"/>
      <c r="C632" s="229"/>
      <c r="D632" s="229"/>
      <c r="E632" s="58">
        <v>12</v>
      </c>
    </row>
    <row r="633" spans="1:5" ht="14.25" hidden="1" customHeight="1" x14ac:dyDescent="0.2">
      <c r="A633" s="230" t="s">
        <v>937</v>
      </c>
      <c r="B633" s="231"/>
      <c r="C633" s="231"/>
      <c r="D633" s="231"/>
      <c r="E633" s="65">
        <v>0</v>
      </c>
    </row>
    <row r="634" spans="1:5" ht="14.25" hidden="1" customHeight="1" x14ac:dyDescent="0.2">
      <c r="A634" s="241" t="s">
        <v>938</v>
      </c>
      <c r="B634" s="242"/>
      <c r="C634" s="242"/>
      <c r="D634" s="242"/>
      <c r="E634" s="59" t="e">
        <f>E631-E633</f>
        <v>#REF!</v>
      </c>
    </row>
    <row r="635" spans="1:5" hidden="1" x14ac:dyDescent="0.2">
      <c r="A635" s="75"/>
      <c r="B635" s="76"/>
      <c r="C635" s="76"/>
      <c r="D635" s="42"/>
      <c r="E635" s="77"/>
    </row>
    <row r="636" spans="1:5" s="39" customFormat="1" ht="39" hidden="1" customHeight="1" x14ac:dyDescent="0.2">
      <c r="A636" s="41" t="s">
        <v>509</v>
      </c>
      <c r="B636" s="235" t="s">
        <v>510</v>
      </c>
      <c r="C636" s="235"/>
      <c r="D636" s="235"/>
      <c r="E636" s="235"/>
    </row>
    <row r="637" spans="1:5" ht="14.25" hidden="1" customHeight="1" x14ac:dyDescent="0.2">
      <c r="A637" s="228" t="s">
        <v>939</v>
      </c>
      <c r="B637" s="229"/>
      <c r="C637" s="229"/>
      <c r="D637" s="229"/>
      <c r="E637" s="58" t="e">
        <f>#REF!</f>
        <v>#REF!</v>
      </c>
    </row>
    <row r="638" spans="1:5" ht="14.25" hidden="1" customHeight="1" x14ac:dyDescent="0.2">
      <c r="A638" s="228" t="s">
        <v>940</v>
      </c>
      <c r="B638" s="229"/>
      <c r="C638" s="229"/>
      <c r="D638" s="229"/>
      <c r="E638" s="58">
        <v>1</v>
      </c>
    </row>
    <row r="639" spans="1:5" ht="14.25" hidden="1" customHeight="1" x14ac:dyDescent="0.2">
      <c r="A639" s="230" t="s">
        <v>941</v>
      </c>
      <c r="B639" s="231"/>
      <c r="C639" s="231"/>
      <c r="D639" s="231"/>
      <c r="E639" s="65">
        <v>0</v>
      </c>
    </row>
    <row r="640" spans="1:5" ht="14.25" hidden="1" customHeight="1" x14ac:dyDescent="0.2">
      <c r="A640" s="241" t="s">
        <v>942</v>
      </c>
      <c r="B640" s="242"/>
      <c r="C640" s="242"/>
      <c r="D640" s="242"/>
      <c r="E640" s="59">
        <v>1</v>
      </c>
    </row>
    <row r="641" spans="1:5" ht="14.25" hidden="1" customHeight="1" x14ac:dyDescent="0.2">
      <c r="A641" s="243" t="s">
        <v>934</v>
      </c>
      <c r="B641" s="244"/>
      <c r="C641" s="244"/>
      <c r="D641" s="244"/>
      <c r="E641" s="87" t="e">
        <f>E638-E637</f>
        <v>#REF!</v>
      </c>
    </row>
    <row r="642" spans="1:5" hidden="1" x14ac:dyDescent="0.2">
      <c r="A642" s="75"/>
      <c r="B642" s="76"/>
      <c r="C642" s="76"/>
      <c r="D642" s="42"/>
      <c r="E642" s="77"/>
    </row>
    <row r="643" spans="1:5" s="39" customFormat="1" ht="49.5" hidden="1" customHeight="1" x14ac:dyDescent="0.2">
      <c r="A643" s="41" t="s">
        <v>1066</v>
      </c>
      <c r="B643" s="235" t="s">
        <v>434</v>
      </c>
      <c r="C643" s="235"/>
      <c r="D643" s="235"/>
      <c r="E643" s="235"/>
    </row>
    <row r="644" spans="1:5" ht="14.25" hidden="1" customHeight="1" x14ac:dyDescent="0.2">
      <c r="A644" s="228" t="s">
        <v>1067</v>
      </c>
      <c r="B644" s="229"/>
      <c r="C644" s="229"/>
      <c r="D644" s="229"/>
      <c r="E644" s="58">
        <v>4</v>
      </c>
    </row>
    <row r="645" spans="1:5" ht="14.25" hidden="1" customHeight="1" x14ac:dyDescent="0.2">
      <c r="A645" s="228" t="s">
        <v>1068</v>
      </c>
      <c r="B645" s="229"/>
      <c r="C645" s="229"/>
      <c r="D645" s="229"/>
      <c r="E645" s="58">
        <v>4</v>
      </c>
    </row>
    <row r="646" spans="1:5" ht="14.25" hidden="1" customHeight="1" x14ac:dyDescent="0.2">
      <c r="A646" s="230" t="s">
        <v>1069</v>
      </c>
      <c r="B646" s="231"/>
      <c r="C646" s="231"/>
      <c r="D646" s="231"/>
      <c r="E646" s="65">
        <v>0</v>
      </c>
    </row>
    <row r="647" spans="1:5" ht="14.25" hidden="1" customHeight="1" x14ac:dyDescent="0.2">
      <c r="A647" s="241" t="s">
        <v>1070</v>
      </c>
      <c r="B647" s="242"/>
      <c r="C647" s="242"/>
      <c r="D647" s="242"/>
      <c r="E647" s="59">
        <f>E644-E646</f>
        <v>4</v>
      </c>
    </row>
    <row r="648" spans="1:5" hidden="1" x14ac:dyDescent="0.2">
      <c r="A648" s="75"/>
      <c r="B648" s="76"/>
      <c r="C648" s="76"/>
      <c r="D648" s="42"/>
      <c r="E648" s="77"/>
    </row>
    <row r="649" spans="1:5" s="39" customFormat="1" ht="18.75" hidden="1" customHeight="1" x14ac:dyDescent="0.2">
      <c r="A649" s="64" t="s">
        <v>949</v>
      </c>
      <c r="B649" s="236" t="s">
        <v>613</v>
      </c>
      <c r="C649" s="236"/>
      <c r="D649" s="236"/>
      <c r="E649" s="236"/>
    </row>
    <row r="650" spans="1:5" s="39" customFormat="1" ht="39" hidden="1" customHeight="1" x14ac:dyDescent="0.2">
      <c r="A650" s="41" t="s">
        <v>950</v>
      </c>
      <c r="B650" s="235" t="s">
        <v>619</v>
      </c>
      <c r="C650" s="235"/>
      <c r="D650" s="235"/>
      <c r="E650" s="235"/>
    </row>
    <row r="651" spans="1:5" ht="14.25" hidden="1" customHeight="1" x14ac:dyDescent="0.2">
      <c r="A651" s="228" t="s">
        <v>951</v>
      </c>
      <c r="B651" s="229"/>
      <c r="C651" s="229"/>
      <c r="D651" s="229"/>
      <c r="E651" s="58" t="e">
        <f>#REF!</f>
        <v>#REF!</v>
      </c>
    </row>
    <row r="652" spans="1:5" ht="14.25" hidden="1" customHeight="1" x14ac:dyDescent="0.2">
      <c r="A652" s="228" t="s">
        <v>952</v>
      </c>
      <c r="B652" s="229"/>
      <c r="C652" s="229"/>
      <c r="D652" s="229"/>
      <c r="E652" s="58">
        <v>19.5</v>
      </c>
    </row>
    <row r="653" spans="1:5" ht="14.25" hidden="1" customHeight="1" x14ac:dyDescent="0.2">
      <c r="A653" s="230" t="s">
        <v>953</v>
      </c>
      <c r="B653" s="231"/>
      <c r="C653" s="231"/>
      <c r="D653" s="231"/>
      <c r="E653" s="65">
        <v>0</v>
      </c>
    </row>
    <row r="654" spans="1:5" ht="14.25" hidden="1" customHeight="1" x14ac:dyDescent="0.2">
      <c r="A654" s="241" t="s">
        <v>954</v>
      </c>
      <c r="B654" s="242"/>
      <c r="C654" s="242"/>
      <c r="D654" s="242"/>
      <c r="E654" s="59">
        <v>19.5</v>
      </c>
    </row>
    <row r="655" spans="1:5" ht="14.25" hidden="1" customHeight="1" x14ac:dyDescent="0.2">
      <c r="A655" s="243" t="s">
        <v>955</v>
      </c>
      <c r="B655" s="244"/>
      <c r="C655" s="244"/>
      <c r="D655" s="244"/>
      <c r="E655" s="87" t="e">
        <f>E652-E651</f>
        <v>#REF!</v>
      </c>
    </row>
    <row r="656" spans="1:5" hidden="1" x14ac:dyDescent="0.2">
      <c r="A656" s="75"/>
      <c r="B656" s="76"/>
      <c r="C656" s="76"/>
      <c r="D656" s="42"/>
      <c r="E656" s="77"/>
    </row>
    <row r="657" spans="1:5" ht="17.25" hidden="1" customHeight="1" x14ac:dyDescent="0.2">
      <c r="A657" s="40" t="s">
        <v>960</v>
      </c>
      <c r="B657" s="234" t="s">
        <v>643</v>
      </c>
      <c r="C657" s="234"/>
      <c r="D657" s="234"/>
      <c r="E657" s="234"/>
    </row>
    <row r="658" spans="1:5" s="39" customFormat="1" ht="57.75" hidden="1" customHeight="1" x14ac:dyDescent="0.2">
      <c r="A658" s="41" t="s">
        <v>961</v>
      </c>
      <c r="B658" s="235" t="s">
        <v>962</v>
      </c>
      <c r="C658" s="235"/>
      <c r="D658" s="235"/>
      <c r="E658" s="235"/>
    </row>
    <row r="659" spans="1:5" ht="14.25" hidden="1" customHeight="1" x14ac:dyDescent="0.2">
      <c r="A659" s="228" t="s">
        <v>963</v>
      </c>
      <c r="B659" s="229"/>
      <c r="C659" s="229"/>
      <c r="D659" s="229"/>
      <c r="E659" s="58">
        <v>0.5</v>
      </c>
    </row>
    <row r="660" spans="1:5" ht="14.25" hidden="1" customHeight="1" x14ac:dyDescent="0.2">
      <c r="A660" s="228" t="s">
        <v>964</v>
      </c>
      <c r="B660" s="229"/>
      <c r="C660" s="229"/>
      <c r="D660" s="229"/>
      <c r="E660" s="58">
        <v>2</v>
      </c>
    </row>
    <row r="661" spans="1:5" ht="14.25" hidden="1" customHeight="1" x14ac:dyDescent="0.2">
      <c r="A661" s="230" t="s">
        <v>965</v>
      </c>
      <c r="B661" s="231"/>
      <c r="C661" s="231"/>
      <c r="D661" s="231"/>
      <c r="E661" s="65">
        <v>1</v>
      </c>
    </row>
    <row r="662" spans="1:5" ht="14.25" hidden="1" customHeight="1" x14ac:dyDescent="0.2">
      <c r="A662" s="241" t="s">
        <v>966</v>
      </c>
      <c r="B662" s="242"/>
      <c r="C662" s="242"/>
      <c r="D662" s="242"/>
      <c r="E662" s="59">
        <f>E659</f>
        <v>0.5</v>
      </c>
    </row>
    <row r="663" spans="1:5" hidden="1" x14ac:dyDescent="0.2">
      <c r="A663" s="56"/>
      <c r="B663" s="85"/>
      <c r="C663" s="85"/>
      <c r="E663" s="57"/>
    </row>
    <row r="664" spans="1:5" hidden="1" x14ac:dyDescent="0.2">
      <c r="A664" s="56"/>
      <c r="B664" s="85"/>
      <c r="C664" s="85"/>
      <c r="E664" s="57"/>
    </row>
    <row r="665" spans="1:5" s="39" customFormat="1" ht="24.75" hidden="1" customHeight="1" x14ac:dyDescent="0.2">
      <c r="A665" s="41" t="s">
        <v>1133</v>
      </c>
      <c r="B665" s="235" t="s">
        <v>627</v>
      </c>
      <c r="C665" s="235"/>
      <c r="D665" s="235"/>
      <c r="E665" s="235"/>
    </row>
    <row r="666" spans="1:5" ht="14.25" hidden="1" customHeight="1" x14ac:dyDescent="0.2">
      <c r="A666" s="228" t="s">
        <v>1134</v>
      </c>
      <c r="B666" s="229"/>
      <c r="C666" s="229"/>
      <c r="D666" s="229"/>
      <c r="E666" s="58" t="e">
        <f>#REF!</f>
        <v>#REF!</v>
      </c>
    </row>
    <row r="667" spans="1:5" ht="14.25" hidden="1" customHeight="1" x14ac:dyDescent="0.2">
      <c r="A667" s="228" t="s">
        <v>1135</v>
      </c>
      <c r="B667" s="229"/>
      <c r="C667" s="229"/>
      <c r="D667" s="229"/>
      <c r="E667" s="58">
        <v>10.3</v>
      </c>
    </row>
    <row r="668" spans="1:5" ht="14.25" hidden="1" customHeight="1" x14ac:dyDescent="0.2">
      <c r="A668" s="230" t="s">
        <v>1136</v>
      </c>
      <c r="B668" s="231"/>
      <c r="C668" s="231"/>
      <c r="D668" s="231"/>
      <c r="E668" s="65">
        <v>0</v>
      </c>
    </row>
    <row r="669" spans="1:5" ht="14.25" hidden="1" customHeight="1" x14ac:dyDescent="0.2">
      <c r="A669" s="241" t="s">
        <v>1137</v>
      </c>
      <c r="B669" s="242"/>
      <c r="C669" s="242"/>
      <c r="D669" s="242"/>
      <c r="E669" s="59" t="e">
        <f>E666</f>
        <v>#REF!</v>
      </c>
    </row>
    <row r="670" spans="1:5" hidden="1" x14ac:dyDescent="0.2">
      <c r="A670" s="75"/>
      <c r="B670" s="76"/>
      <c r="C670" s="76"/>
      <c r="D670" s="42"/>
      <c r="E670" s="77"/>
    </row>
    <row r="671" spans="1:5" ht="17.25" hidden="1" customHeight="1" x14ac:dyDescent="0.2">
      <c r="A671" s="40" t="s">
        <v>960</v>
      </c>
      <c r="B671" s="234" t="s">
        <v>643</v>
      </c>
      <c r="C671" s="234"/>
      <c r="D671" s="234"/>
      <c r="E671" s="234"/>
    </row>
    <row r="672" spans="1:5" s="39" customFormat="1" ht="52.5" hidden="1" customHeight="1" x14ac:dyDescent="0.2">
      <c r="A672" s="41" t="s">
        <v>961</v>
      </c>
      <c r="B672" s="235" t="s">
        <v>1071</v>
      </c>
      <c r="C672" s="235"/>
      <c r="D672" s="235"/>
      <c r="E672" s="235"/>
    </row>
    <row r="673" spans="1:5" ht="14.25" hidden="1" customHeight="1" x14ac:dyDescent="0.2">
      <c r="A673" s="228" t="s">
        <v>1072</v>
      </c>
      <c r="B673" s="229"/>
      <c r="C673" s="229"/>
      <c r="D673" s="229"/>
      <c r="E673" s="58">
        <v>0.5</v>
      </c>
    </row>
    <row r="674" spans="1:5" ht="14.25" hidden="1" customHeight="1" x14ac:dyDescent="0.2">
      <c r="A674" s="228" t="s">
        <v>1075</v>
      </c>
      <c r="B674" s="229"/>
      <c r="C674" s="229"/>
      <c r="D674" s="229"/>
      <c r="E674" s="58">
        <v>2</v>
      </c>
    </row>
    <row r="675" spans="1:5" ht="14.25" hidden="1" customHeight="1" x14ac:dyDescent="0.2">
      <c r="A675" s="228" t="s">
        <v>1074</v>
      </c>
      <c r="B675" s="229"/>
      <c r="C675" s="229"/>
      <c r="D675" s="229"/>
      <c r="E675" s="58">
        <v>1.5</v>
      </c>
    </row>
    <row r="676" spans="1:5" ht="14.25" hidden="1" customHeight="1" x14ac:dyDescent="0.2">
      <c r="A676" s="241" t="s">
        <v>1073</v>
      </c>
      <c r="B676" s="242"/>
      <c r="C676" s="242"/>
      <c r="D676" s="242"/>
      <c r="E676" s="59">
        <f>E673</f>
        <v>0.5</v>
      </c>
    </row>
    <row r="677" spans="1:5" hidden="1" x14ac:dyDescent="0.2">
      <c r="A677" s="56"/>
      <c r="B677" s="85"/>
      <c r="C677" s="85"/>
      <c r="E677" s="57"/>
    </row>
    <row r="678" spans="1:5" ht="17.25" hidden="1" customHeight="1" x14ac:dyDescent="0.2">
      <c r="A678" s="40" t="s">
        <v>989</v>
      </c>
      <c r="B678" s="234" t="s">
        <v>653</v>
      </c>
      <c r="C678" s="234"/>
      <c r="D678" s="234"/>
      <c r="E678" s="234"/>
    </row>
    <row r="679" spans="1:5" s="39" customFormat="1" ht="34.5" hidden="1" customHeight="1" x14ac:dyDescent="0.2">
      <c r="A679" s="41" t="s">
        <v>990</v>
      </c>
      <c r="B679" s="235" t="s">
        <v>655</v>
      </c>
      <c r="C679" s="235"/>
      <c r="D679" s="235"/>
      <c r="E679" s="235"/>
    </row>
    <row r="680" spans="1:5" ht="14.25" hidden="1" customHeight="1" x14ac:dyDescent="0.2">
      <c r="A680" s="228" t="s">
        <v>992</v>
      </c>
      <c r="B680" s="229"/>
      <c r="C680" s="229"/>
      <c r="D680" s="229"/>
      <c r="E680" s="58" t="e">
        <f>#REF!</f>
        <v>#REF!</v>
      </c>
    </row>
    <row r="681" spans="1:5" ht="14.25" hidden="1" customHeight="1" x14ac:dyDescent="0.2">
      <c r="A681" s="228" t="s">
        <v>994</v>
      </c>
      <c r="B681" s="229"/>
      <c r="C681" s="229"/>
      <c r="D681" s="229"/>
      <c r="E681" s="58">
        <v>0</v>
      </c>
    </row>
    <row r="682" spans="1:5" ht="14.25" hidden="1" customHeight="1" x14ac:dyDescent="0.2">
      <c r="A682" s="241" t="s">
        <v>995</v>
      </c>
      <c r="B682" s="242"/>
      <c r="C682" s="242"/>
      <c r="D682" s="242"/>
      <c r="E682" s="59" t="e">
        <f>E680-E681</f>
        <v>#REF!</v>
      </c>
    </row>
    <row r="683" spans="1:5" hidden="1" x14ac:dyDescent="0.2">
      <c r="A683" s="56"/>
      <c r="B683" s="85"/>
      <c r="C683" s="85"/>
      <c r="E683" s="57"/>
    </row>
    <row r="684" spans="1:5" s="39" customFormat="1" ht="45" hidden="1" customHeight="1" x14ac:dyDescent="0.2">
      <c r="A684" s="41" t="s">
        <v>993</v>
      </c>
      <c r="B684" s="235" t="s">
        <v>657</v>
      </c>
      <c r="C684" s="235"/>
      <c r="D684" s="235"/>
      <c r="E684" s="235"/>
    </row>
    <row r="685" spans="1:5" ht="14.25" hidden="1" customHeight="1" x14ac:dyDescent="0.2">
      <c r="A685" s="228" t="s">
        <v>1004</v>
      </c>
      <c r="B685" s="229"/>
      <c r="C685" s="229"/>
      <c r="D685" s="229"/>
      <c r="E685" s="58" t="e">
        <f>#REF!</f>
        <v>#REF!</v>
      </c>
    </row>
    <row r="686" spans="1:5" ht="14.25" hidden="1" customHeight="1" x14ac:dyDescent="0.2">
      <c r="A686" s="228" t="s">
        <v>1005</v>
      </c>
      <c r="B686" s="229"/>
      <c r="C686" s="229"/>
      <c r="D686" s="229"/>
      <c r="E686" s="58">
        <v>0</v>
      </c>
    </row>
    <row r="687" spans="1:5" ht="14.25" hidden="1" customHeight="1" x14ac:dyDescent="0.2">
      <c r="A687" s="241" t="s">
        <v>1006</v>
      </c>
      <c r="B687" s="242"/>
      <c r="C687" s="242"/>
      <c r="D687" s="242"/>
      <c r="E687" s="59" t="e">
        <f>E685</f>
        <v>#REF!</v>
      </c>
    </row>
    <row r="688" spans="1:5" hidden="1" x14ac:dyDescent="0.2">
      <c r="A688" s="75"/>
      <c r="B688" s="76"/>
      <c r="C688" s="76"/>
      <c r="D688" s="42"/>
      <c r="E688" s="77"/>
    </row>
    <row r="689" spans="1:5" s="39" customFormat="1" ht="45" hidden="1" customHeight="1" x14ac:dyDescent="0.2">
      <c r="A689" s="41" t="s">
        <v>996</v>
      </c>
      <c r="B689" s="235" t="s">
        <v>659</v>
      </c>
      <c r="C689" s="235"/>
      <c r="D689" s="235"/>
      <c r="E689" s="235"/>
    </row>
    <row r="690" spans="1:5" ht="14.25" hidden="1" customHeight="1" x14ac:dyDescent="0.2">
      <c r="A690" s="228" t="s">
        <v>1001</v>
      </c>
      <c r="B690" s="229"/>
      <c r="C690" s="229"/>
      <c r="D690" s="229"/>
      <c r="E690" s="58" t="e">
        <f>#REF!</f>
        <v>#REF!</v>
      </c>
    </row>
    <row r="691" spans="1:5" ht="14.25" hidden="1" customHeight="1" x14ac:dyDescent="0.2">
      <c r="A691" s="228" t="s">
        <v>1002</v>
      </c>
      <c r="B691" s="229"/>
      <c r="C691" s="229"/>
      <c r="D691" s="229"/>
      <c r="E691" s="58">
        <v>0</v>
      </c>
    </row>
    <row r="692" spans="1:5" ht="14.25" hidden="1" customHeight="1" x14ac:dyDescent="0.2">
      <c r="A692" s="241" t="s">
        <v>1003</v>
      </c>
      <c r="B692" s="242"/>
      <c r="C692" s="242"/>
      <c r="D692" s="242"/>
      <c r="E692" s="59" t="e">
        <f>E690</f>
        <v>#REF!</v>
      </c>
    </row>
    <row r="693" spans="1:5" hidden="1" x14ac:dyDescent="0.2">
      <c r="A693" s="75"/>
      <c r="B693" s="76"/>
      <c r="C693" s="76"/>
      <c r="D693" s="42"/>
      <c r="E693" s="77"/>
    </row>
    <row r="694" spans="1:5" s="39" customFormat="1" ht="45" hidden="1" customHeight="1" x14ac:dyDescent="0.2">
      <c r="A694" s="41" t="s">
        <v>997</v>
      </c>
      <c r="B694" s="235" t="s">
        <v>661</v>
      </c>
      <c r="C694" s="235"/>
      <c r="D694" s="235"/>
      <c r="E694" s="235"/>
    </row>
    <row r="695" spans="1:5" ht="14.25" hidden="1" customHeight="1" x14ac:dyDescent="0.2">
      <c r="A695" s="228" t="s">
        <v>998</v>
      </c>
      <c r="B695" s="229"/>
      <c r="C695" s="229"/>
      <c r="D695" s="229"/>
      <c r="E695" s="58" t="e">
        <f>#REF!</f>
        <v>#REF!</v>
      </c>
    </row>
    <row r="696" spans="1:5" ht="14.25" hidden="1" customHeight="1" x14ac:dyDescent="0.2">
      <c r="A696" s="228" t="s">
        <v>999</v>
      </c>
      <c r="B696" s="229"/>
      <c r="C696" s="229"/>
      <c r="D696" s="229"/>
      <c r="E696" s="58">
        <v>0</v>
      </c>
    </row>
    <row r="697" spans="1:5" ht="14.25" hidden="1" customHeight="1" x14ac:dyDescent="0.2">
      <c r="A697" s="241" t="s">
        <v>1000</v>
      </c>
      <c r="B697" s="242"/>
      <c r="C697" s="242"/>
      <c r="D697" s="242"/>
      <c r="E697" s="59" t="e">
        <f>E695</f>
        <v>#REF!</v>
      </c>
    </row>
    <row r="698" spans="1:5" hidden="1" x14ac:dyDescent="0.2">
      <c r="A698" s="75"/>
      <c r="B698" s="76"/>
      <c r="C698" s="76"/>
      <c r="D698" s="42"/>
      <c r="E698" s="77"/>
    </row>
    <row r="699" spans="1:5" s="39" customFormat="1" ht="24.75" hidden="1" customHeight="1" x14ac:dyDescent="0.2">
      <c r="A699" s="41" t="s">
        <v>1169</v>
      </c>
      <c r="B699" s="235" t="s">
        <v>637</v>
      </c>
      <c r="C699" s="235"/>
      <c r="D699" s="235"/>
      <c r="E699" s="235"/>
    </row>
    <row r="700" spans="1:5" ht="14.25" hidden="1" customHeight="1" x14ac:dyDescent="0.2">
      <c r="A700" s="228" t="s">
        <v>1170</v>
      </c>
      <c r="B700" s="229"/>
      <c r="C700" s="229"/>
      <c r="D700" s="229"/>
      <c r="E700" s="58" t="e">
        <f>#REF!</f>
        <v>#REF!</v>
      </c>
    </row>
    <row r="701" spans="1:5" ht="14.25" hidden="1" customHeight="1" x14ac:dyDescent="0.2">
      <c r="A701" s="228" t="s">
        <v>1171</v>
      </c>
      <c r="B701" s="229"/>
      <c r="C701" s="229"/>
      <c r="D701" s="229"/>
      <c r="E701" s="58">
        <v>2669.7</v>
      </c>
    </row>
    <row r="702" spans="1:5" ht="14.25" hidden="1" customHeight="1" x14ac:dyDescent="0.2">
      <c r="A702" s="230" t="s">
        <v>1172</v>
      </c>
      <c r="B702" s="231"/>
      <c r="C702" s="231"/>
      <c r="D702" s="231"/>
      <c r="E702" s="65">
        <v>0</v>
      </c>
    </row>
    <row r="703" spans="1:5" ht="14.25" hidden="1" customHeight="1" x14ac:dyDescent="0.2">
      <c r="A703" s="241" t="s">
        <v>1173</v>
      </c>
      <c r="B703" s="242"/>
      <c r="C703" s="242"/>
      <c r="D703" s="242"/>
      <c r="E703" s="59" t="e">
        <f>E700</f>
        <v>#REF!</v>
      </c>
    </row>
    <row r="704" spans="1:5" hidden="1" x14ac:dyDescent="0.2">
      <c r="A704" s="75"/>
      <c r="B704" s="76"/>
      <c r="C704" s="76"/>
      <c r="D704" s="42"/>
      <c r="E704" s="77"/>
    </row>
    <row r="705" spans="1:5" s="39" customFormat="1" ht="39" hidden="1" customHeight="1" x14ac:dyDescent="0.2">
      <c r="A705" s="41" t="s">
        <v>950</v>
      </c>
      <c r="B705" s="235" t="s">
        <v>619</v>
      </c>
      <c r="C705" s="235"/>
      <c r="D705" s="235"/>
      <c r="E705" s="235"/>
    </row>
    <row r="706" spans="1:5" ht="14.25" hidden="1" customHeight="1" x14ac:dyDescent="0.2">
      <c r="A706" s="228" t="s">
        <v>951</v>
      </c>
      <c r="B706" s="229"/>
      <c r="C706" s="229"/>
      <c r="D706" s="229"/>
      <c r="E706" s="58" t="e">
        <f>#REF!</f>
        <v>#REF!</v>
      </c>
    </row>
    <row r="707" spans="1:5" ht="14.25" hidden="1" customHeight="1" x14ac:dyDescent="0.2">
      <c r="A707" s="228" t="s">
        <v>952</v>
      </c>
      <c r="B707" s="229"/>
      <c r="C707" s="229"/>
      <c r="D707" s="229"/>
      <c r="E707" s="58">
        <v>19.5</v>
      </c>
    </row>
    <row r="708" spans="1:5" ht="14.25" hidden="1" customHeight="1" x14ac:dyDescent="0.2">
      <c r="A708" s="230" t="s">
        <v>953</v>
      </c>
      <c r="B708" s="231"/>
      <c r="C708" s="231"/>
      <c r="D708" s="231"/>
      <c r="E708" s="65">
        <v>0</v>
      </c>
    </row>
    <row r="709" spans="1:5" ht="14.25" hidden="1" customHeight="1" x14ac:dyDescent="0.2">
      <c r="A709" s="241" t="s">
        <v>954</v>
      </c>
      <c r="B709" s="242"/>
      <c r="C709" s="242"/>
      <c r="D709" s="242"/>
      <c r="E709" s="59">
        <v>19.5</v>
      </c>
    </row>
    <row r="710" spans="1:5" ht="14.25" hidden="1" customHeight="1" x14ac:dyDescent="0.2">
      <c r="A710" s="243" t="s">
        <v>955</v>
      </c>
      <c r="B710" s="244"/>
      <c r="C710" s="244"/>
      <c r="D710" s="244"/>
      <c r="E710" s="87" t="e">
        <f>E707-E706</f>
        <v>#REF!</v>
      </c>
    </row>
    <row r="711" spans="1:5" hidden="1" x14ac:dyDescent="0.2">
      <c r="A711" s="75"/>
      <c r="B711" s="76"/>
      <c r="C711" s="76"/>
      <c r="D711" s="42"/>
      <c r="E711" s="77"/>
    </row>
    <row r="712" spans="1:5" ht="17.25" hidden="1" customHeight="1" x14ac:dyDescent="0.2">
      <c r="A712" s="40" t="s">
        <v>960</v>
      </c>
      <c r="B712" s="234" t="s">
        <v>643</v>
      </c>
      <c r="C712" s="234"/>
      <c r="D712" s="234"/>
      <c r="E712" s="234"/>
    </row>
    <row r="713" spans="1:5" s="39" customFormat="1" ht="57.75" hidden="1" customHeight="1" x14ac:dyDescent="0.2">
      <c r="A713" s="41" t="s">
        <v>961</v>
      </c>
      <c r="B713" s="235" t="s">
        <v>962</v>
      </c>
      <c r="C713" s="235"/>
      <c r="D713" s="235"/>
      <c r="E713" s="235"/>
    </row>
    <row r="714" spans="1:5" ht="14.25" hidden="1" customHeight="1" x14ac:dyDescent="0.2">
      <c r="A714" s="228" t="s">
        <v>963</v>
      </c>
      <c r="B714" s="229"/>
      <c r="C714" s="229"/>
      <c r="D714" s="229"/>
      <c r="E714" s="58">
        <v>0.5</v>
      </c>
    </row>
    <row r="715" spans="1:5" ht="14.25" hidden="1" customHeight="1" x14ac:dyDescent="0.2">
      <c r="A715" s="228" t="s">
        <v>964</v>
      </c>
      <c r="B715" s="229"/>
      <c r="C715" s="229"/>
      <c r="D715" s="229"/>
      <c r="E715" s="58">
        <v>2</v>
      </c>
    </row>
    <row r="716" spans="1:5" ht="14.25" hidden="1" customHeight="1" x14ac:dyDescent="0.2">
      <c r="A716" s="230" t="s">
        <v>965</v>
      </c>
      <c r="B716" s="231"/>
      <c r="C716" s="231"/>
      <c r="D716" s="231"/>
      <c r="E716" s="65">
        <v>1</v>
      </c>
    </row>
    <row r="717" spans="1:5" ht="14.25" hidden="1" customHeight="1" x14ac:dyDescent="0.2">
      <c r="A717" s="241" t="s">
        <v>966</v>
      </c>
      <c r="B717" s="242"/>
      <c r="C717" s="242"/>
      <c r="D717" s="242"/>
      <c r="E717" s="59">
        <f>E714</f>
        <v>0.5</v>
      </c>
    </row>
    <row r="718" spans="1:5" hidden="1" x14ac:dyDescent="0.2">
      <c r="A718" s="56"/>
      <c r="B718" s="85"/>
      <c r="C718" s="85"/>
      <c r="E718" s="57"/>
    </row>
    <row r="719" spans="1:5" hidden="1" x14ac:dyDescent="0.2">
      <c r="A719" s="56"/>
      <c r="B719" s="85"/>
      <c r="C719" s="85"/>
      <c r="E719" s="57"/>
    </row>
    <row r="720" spans="1:5" ht="17.25" hidden="1" customHeight="1" x14ac:dyDescent="0.2">
      <c r="A720" s="40" t="s">
        <v>989</v>
      </c>
      <c r="B720" s="234" t="s">
        <v>653</v>
      </c>
      <c r="C720" s="234"/>
      <c r="D720" s="234"/>
      <c r="E720" s="234"/>
    </row>
    <row r="721" spans="1:5" s="39" customFormat="1" ht="22.5" hidden="1" customHeight="1" x14ac:dyDescent="0.2">
      <c r="A721" s="41" t="s">
        <v>1076</v>
      </c>
      <c r="B721" s="235" t="s">
        <v>719</v>
      </c>
      <c r="C721" s="235"/>
      <c r="D721" s="235"/>
      <c r="E721" s="235"/>
    </row>
    <row r="722" spans="1:5" s="49" customFormat="1" ht="14.25" hidden="1" customHeight="1" x14ac:dyDescent="0.2">
      <c r="A722" s="237" t="s">
        <v>1077</v>
      </c>
      <c r="B722" s="238"/>
      <c r="C722" s="238"/>
      <c r="D722" s="238"/>
      <c r="E722" s="69">
        <v>8380</v>
      </c>
    </row>
    <row r="723" spans="1:5" s="49" customFormat="1" ht="15.75" hidden="1" customHeight="1" x14ac:dyDescent="0.2">
      <c r="A723" s="237" t="s">
        <v>1078</v>
      </c>
      <c r="B723" s="238"/>
      <c r="C723" s="238"/>
      <c r="D723" s="238"/>
      <c r="E723" s="69">
        <v>20950</v>
      </c>
    </row>
    <row r="724" spans="1:5" s="39" customFormat="1" ht="15" hidden="1" customHeight="1" x14ac:dyDescent="0.2">
      <c r="A724" s="237" t="s">
        <v>1079</v>
      </c>
      <c r="B724" s="238"/>
      <c r="C724" s="238"/>
      <c r="D724" s="238"/>
      <c r="E724" s="46">
        <v>0</v>
      </c>
    </row>
    <row r="725" spans="1:5" s="39" customFormat="1" ht="15" hidden="1" customHeight="1" x14ac:dyDescent="0.2">
      <c r="A725" s="239" t="s">
        <v>1080</v>
      </c>
      <c r="B725" s="240"/>
      <c r="C725" s="240"/>
      <c r="D725" s="240"/>
      <c r="E725" s="68">
        <f>E722-E724</f>
        <v>8380</v>
      </c>
    </row>
    <row r="726" spans="1:5" hidden="1" x14ac:dyDescent="0.2">
      <c r="A726" s="75"/>
      <c r="B726" s="76"/>
      <c r="C726" s="76"/>
      <c r="D726" s="42"/>
      <c r="E726" s="77"/>
    </row>
    <row r="727" spans="1:5" s="39" customFormat="1" ht="41.45" hidden="1" customHeight="1" x14ac:dyDescent="0.2">
      <c r="A727" s="41" t="s">
        <v>997</v>
      </c>
      <c r="B727" s="235" t="s">
        <v>661</v>
      </c>
      <c r="C727" s="235"/>
      <c r="D727" s="235"/>
      <c r="E727" s="235"/>
    </row>
    <row r="728" spans="1:5" s="49" customFormat="1" ht="14.25" hidden="1" customHeight="1" x14ac:dyDescent="0.2">
      <c r="A728" s="237" t="s">
        <v>1174</v>
      </c>
      <c r="B728" s="238"/>
      <c r="C728" s="238"/>
      <c r="D728" s="238"/>
      <c r="E728" s="69">
        <v>11</v>
      </c>
    </row>
    <row r="729" spans="1:5" s="49" customFormat="1" ht="15.75" hidden="1" customHeight="1" x14ac:dyDescent="0.2">
      <c r="A729" s="237" t="s">
        <v>1175</v>
      </c>
      <c r="B729" s="238"/>
      <c r="C729" s="238"/>
      <c r="D729" s="238"/>
      <c r="E729" s="69">
        <v>11</v>
      </c>
    </row>
    <row r="730" spans="1:5" s="39" customFormat="1" ht="15" hidden="1" customHeight="1" x14ac:dyDescent="0.2">
      <c r="A730" s="237" t="s">
        <v>1176</v>
      </c>
      <c r="B730" s="238"/>
      <c r="C730" s="238"/>
      <c r="D730" s="238"/>
      <c r="E730" s="46">
        <v>7</v>
      </c>
    </row>
    <row r="731" spans="1:5" s="39" customFormat="1" ht="15" hidden="1" customHeight="1" x14ac:dyDescent="0.2">
      <c r="A731" s="239" t="s">
        <v>1177</v>
      </c>
      <c r="B731" s="240"/>
      <c r="C731" s="240"/>
      <c r="D731" s="240"/>
      <c r="E731" s="68">
        <f>E728-E730</f>
        <v>4</v>
      </c>
    </row>
    <row r="732" spans="1:5" x14ac:dyDescent="0.2">
      <c r="A732" s="75"/>
      <c r="B732" s="76"/>
      <c r="C732" s="76"/>
      <c r="D732" s="42"/>
      <c r="E732" s="77"/>
    </row>
    <row r="733" spans="1:5" ht="17.25" hidden="1" customHeight="1" x14ac:dyDescent="0.2">
      <c r="A733" s="40" t="s">
        <v>906</v>
      </c>
      <c r="B733" s="234" t="s">
        <v>729</v>
      </c>
      <c r="C733" s="234"/>
      <c r="D733" s="234"/>
      <c r="E733" s="234"/>
    </row>
    <row r="734" spans="1:5" s="39" customFormat="1" ht="18.75" hidden="1" customHeight="1" x14ac:dyDescent="0.2">
      <c r="A734" s="64" t="s">
        <v>1016</v>
      </c>
      <c r="B734" s="236" t="s">
        <v>731</v>
      </c>
      <c r="C734" s="236"/>
      <c r="D734" s="236"/>
      <c r="E734" s="236"/>
    </row>
    <row r="735" spans="1:5" s="39" customFormat="1" ht="22.5" hidden="1" customHeight="1" x14ac:dyDescent="0.2">
      <c r="A735" s="41" t="s">
        <v>1025</v>
      </c>
      <c r="B735" s="235" t="s">
        <v>733</v>
      </c>
      <c r="C735" s="235"/>
      <c r="D735" s="235"/>
      <c r="E735" s="235"/>
    </row>
    <row r="736" spans="1:5" s="49" customFormat="1" ht="14.25" hidden="1" customHeight="1" x14ac:dyDescent="0.2">
      <c r="A736" s="237" t="s">
        <v>1026</v>
      </c>
      <c r="B736" s="238"/>
      <c r="C736" s="238"/>
      <c r="D736" s="238"/>
      <c r="E736" s="69" t="e">
        <f>#REF!</f>
        <v>#REF!</v>
      </c>
    </row>
    <row r="737" spans="1:5" s="49" customFormat="1" ht="15.75" hidden="1" customHeight="1" x14ac:dyDescent="0.2">
      <c r="A737" s="237" t="s">
        <v>1027</v>
      </c>
      <c r="B737" s="238"/>
      <c r="C737" s="238"/>
      <c r="D737" s="238"/>
      <c r="E737" s="69" t="e">
        <f>#REF!</f>
        <v>#REF!</v>
      </c>
    </row>
    <row r="738" spans="1:5" s="39" customFormat="1" ht="15" hidden="1" customHeight="1" x14ac:dyDescent="0.2">
      <c r="A738" s="237" t="s">
        <v>1028</v>
      </c>
      <c r="B738" s="238"/>
      <c r="C738" s="238"/>
      <c r="D738" s="238"/>
      <c r="E738" s="46">
        <v>0</v>
      </c>
    </row>
    <row r="739" spans="1:5" s="39" customFormat="1" ht="15" hidden="1" customHeight="1" x14ac:dyDescent="0.2">
      <c r="A739" s="239" t="s">
        <v>1029</v>
      </c>
      <c r="B739" s="240"/>
      <c r="C739" s="240"/>
      <c r="D739" s="240"/>
      <c r="E739" s="68" t="e">
        <f>E736-E738</f>
        <v>#REF!</v>
      </c>
    </row>
    <row r="740" spans="1:5" hidden="1" x14ac:dyDescent="0.2">
      <c r="A740" s="75"/>
      <c r="B740" s="76"/>
      <c r="C740" s="76"/>
      <c r="D740" s="42"/>
      <c r="E740" s="77"/>
    </row>
    <row r="741" spans="1:5" s="39" customFormat="1" ht="18.75" hidden="1" customHeight="1" x14ac:dyDescent="0.2">
      <c r="A741" s="64" t="s">
        <v>968</v>
      </c>
      <c r="B741" s="236" t="s">
        <v>693</v>
      </c>
      <c r="C741" s="236"/>
      <c r="D741" s="236"/>
      <c r="E741" s="236"/>
    </row>
    <row r="742" spans="1:5" s="39" customFormat="1" ht="33.75" hidden="1" customHeight="1" x14ac:dyDescent="0.2">
      <c r="A742" s="41" t="s">
        <v>972</v>
      </c>
      <c r="B742" s="235" t="s">
        <v>794</v>
      </c>
      <c r="C742" s="235"/>
      <c r="D742" s="235"/>
      <c r="E742" s="235"/>
    </row>
    <row r="743" spans="1:5" s="49" customFormat="1" ht="14.25" hidden="1" customHeight="1" x14ac:dyDescent="0.2">
      <c r="A743" s="237" t="s">
        <v>970</v>
      </c>
      <c r="B743" s="238"/>
      <c r="C743" s="238"/>
      <c r="D743" s="238"/>
      <c r="E743" s="69" t="e">
        <f>#REF!</f>
        <v>#REF!</v>
      </c>
    </row>
    <row r="744" spans="1:5" s="49" customFormat="1" ht="15.75" hidden="1" customHeight="1" x14ac:dyDescent="0.2">
      <c r="A744" s="237" t="s">
        <v>969</v>
      </c>
      <c r="B744" s="238"/>
      <c r="C744" s="238"/>
      <c r="D744" s="238"/>
      <c r="E744" s="69" t="e">
        <f>#REF!</f>
        <v>#REF!</v>
      </c>
    </row>
    <row r="745" spans="1:5" s="39" customFormat="1" ht="15" hidden="1" customHeight="1" x14ac:dyDescent="0.2">
      <c r="A745" s="237" t="s">
        <v>1017</v>
      </c>
      <c r="B745" s="238"/>
      <c r="C745" s="238"/>
      <c r="D745" s="238"/>
      <c r="E745" s="46">
        <v>1.5</v>
      </c>
    </row>
    <row r="746" spans="1:5" s="39" customFormat="1" ht="15" hidden="1" customHeight="1" x14ac:dyDescent="0.2">
      <c r="A746" s="239" t="s">
        <v>1018</v>
      </c>
      <c r="B746" s="240"/>
      <c r="C746" s="240"/>
      <c r="D746" s="240"/>
      <c r="E746" s="68" t="e">
        <f>E743-E745</f>
        <v>#REF!</v>
      </c>
    </row>
    <row r="747" spans="1:5" hidden="1" x14ac:dyDescent="0.2">
      <c r="A747" s="75"/>
      <c r="B747" s="76"/>
      <c r="C747" s="76"/>
      <c r="D747" s="42"/>
      <c r="E747" s="77"/>
    </row>
    <row r="748" spans="1:5" s="39" customFormat="1" ht="27" hidden="1" customHeight="1" x14ac:dyDescent="0.2">
      <c r="A748" s="41" t="s">
        <v>971</v>
      </c>
      <c r="B748" s="235" t="s">
        <v>796</v>
      </c>
      <c r="C748" s="235"/>
      <c r="D748" s="235"/>
      <c r="E748" s="235"/>
    </row>
    <row r="749" spans="1:5" s="49" customFormat="1" ht="14.25" hidden="1" customHeight="1" x14ac:dyDescent="0.2">
      <c r="A749" s="237" t="s">
        <v>1019</v>
      </c>
      <c r="B749" s="238"/>
      <c r="C749" s="238"/>
      <c r="D749" s="238"/>
      <c r="E749" s="69" t="e">
        <f>#REF!</f>
        <v>#REF!</v>
      </c>
    </row>
    <row r="750" spans="1:5" s="49" customFormat="1" ht="14.25" hidden="1" customHeight="1" x14ac:dyDescent="0.2">
      <c r="A750" s="237" t="s">
        <v>1020</v>
      </c>
      <c r="B750" s="238"/>
      <c r="C750" s="238"/>
      <c r="D750" s="238"/>
      <c r="E750" s="69" t="e">
        <f>#REF!</f>
        <v>#REF!</v>
      </c>
    </row>
    <row r="751" spans="1:5" s="39" customFormat="1" ht="13.5" hidden="1" customHeight="1" x14ac:dyDescent="0.2">
      <c r="A751" s="237" t="s">
        <v>1021</v>
      </c>
      <c r="B751" s="238"/>
      <c r="C751" s="238"/>
      <c r="D751" s="238"/>
      <c r="E751" s="46">
        <v>0</v>
      </c>
    </row>
    <row r="752" spans="1:5" s="39" customFormat="1" ht="14.25" hidden="1" customHeight="1" x14ac:dyDescent="0.2">
      <c r="A752" s="239" t="s">
        <v>1022</v>
      </c>
      <c r="B752" s="240"/>
      <c r="C752" s="240"/>
      <c r="D752" s="240"/>
      <c r="E752" s="68" t="e">
        <f>E749</f>
        <v>#REF!</v>
      </c>
    </row>
    <row r="753" spans="1:5" hidden="1" x14ac:dyDescent="0.2">
      <c r="A753" s="56"/>
      <c r="B753" s="85"/>
      <c r="C753" s="85"/>
      <c r="E753" s="57"/>
    </row>
    <row r="754" spans="1:5" s="39" customFormat="1" ht="26.25" hidden="1" customHeight="1" x14ac:dyDescent="0.2">
      <c r="A754" s="41" t="s">
        <v>974</v>
      </c>
      <c r="B754" s="235" t="s">
        <v>973</v>
      </c>
      <c r="C754" s="235"/>
      <c r="D754" s="235"/>
      <c r="E754" s="235"/>
    </row>
    <row r="755" spans="1:5" s="49" customFormat="1" ht="14.25" hidden="1" customHeight="1" x14ac:dyDescent="0.2">
      <c r="A755" s="237" t="s">
        <v>975</v>
      </c>
      <c r="B755" s="238"/>
      <c r="C755" s="238"/>
      <c r="D755" s="238"/>
      <c r="E755" s="69" t="e">
        <f>#REF!</f>
        <v>#REF!</v>
      </c>
    </row>
    <row r="756" spans="1:5" s="49" customFormat="1" ht="15.75" hidden="1" customHeight="1" x14ac:dyDescent="0.2">
      <c r="A756" s="237" t="s">
        <v>976</v>
      </c>
      <c r="B756" s="238"/>
      <c r="C756" s="238"/>
      <c r="D756" s="238"/>
      <c r="E756" s="69">
        <f>Planilha!D474</f>
        <v>152.99</v>
      </c>
    </row>
    <row r="757" spans="1:5" s="39" customFormat="1" ht="15" hidden="1" customHeight="1" x14ac:dyDescent="0.2">
      <c r="A757" s="237" t="s">
        <v>1024</v>
      </c>
      <c r="B757" s="238"/>
      <c r="C757" s="238"/>
      <c r="D757" s="238"/>
      <c r="E757" s="46" t="e">
        <f>#REF!</f>
        <v>#REF!</v>
      </c>
    </row>
    <row r="758" spans="1:5" s="39" customFormat="1" ht="15" hidden="1" customHeight="1" x14ac:dyDescent="0.2">
      <c r="A758" s="239" t="s">
        <v>1018</v>
      </c>
      <c r="B758" s="240"/>
      <c r="C758" s="240"/>
      <c r="D758" s="240"/>
      <c r="E758" s="68" t="e">
        <f>E756-E757</f>
        <v>#REF!</v>
      </c>
    </row>
    <row r="759" spans="1:5" ht="15" hidden="1" customHeight="1" x14ac:dyDescent="0.2">
      <c r="A759" s="246" t="s">
        <v>1023</v>
      </c>
      <c r="B759" s="247"/>
      <c r="C759" s="247"/>
      <c r="D759" s="247"/>
      <c r="E759" s="107" t="e">
        <f>E756-E755</f>
        <v>#REF!</v>
      </c>
    </row>
    <row r="760" spans="1:5" hidden="1" x14ac:dyDescent="0.2"/>
  </sheetData>
  <mergeCells count="629">
    <mergeCell ref="A49:D49"/>
    <mergeCell ref="A50:D50"/>
    <mergeCell ref="A51:D51"/>
    <mergeCell ref="A119:D119"/>
    <mergeCell ref="B124:E124"/>
    <mergeCell ref="B131:E131"/>
    <mergeCell ref="A132:D132"/>
    <mergeCell ref="A133:D133"/>
    <mergeCell ref="A134:D134"/>
    <mergeCell ref="B70:E70"/>
    <mergeCell ref="B97:E97"/>
    <mergeCell ref="A92:D92"/>
    <mergeCell ref="A93:D93"/>
    <mergeCell ref="B104:E104"/>
    <mergeCell ref="A179:D179"/>
    <mergeCell ref="A180:D180"/>
    <mergeCell ref="B125:E125"/>
    <mergeCell ref="A126:D126"/>
    <mergeCell ref="B144:E144"/>
    <mergeCell ref="A145:D145"/>
    <mergeCell ref="A146:D146"/>
    <mergeCell ref="A147:D147"/>
    <mergeCell ref="A148:D148"/>
    <mergeCell ref="A167:D167"/>
    <mergeCell ref="A168:D168"/>
    <mergeCell ref="B170:E170"/>
    <mergeCell ref="B150:E150"/>
    <mergeCell ref="A151:D151"/>
    <mergeCell ref="A128:D128"/>
    <mergeCell ref="A135:D135"/>
    <mergeCell ref="A178:D178"/>
    <mergeCell ref="B143:E143"/>
    <mergeCell ref="A186:D186"/>
    <mergeCell ref="B163:E163"/>
    <mergeCell ref="B137:E137"/>
    <mergeCell ref="A138:D138"/>
    <mergeCell ref="A139:D139"/>
    <mergeCell ref="A152:D152"/>
    <mergeCell ref="A73:D73"/>
    <mergeCell ref="A74:D74"/>
    <mergeCell ref="A75:D75"/>
    <mergeCell ref="A98:D98"/>
    <mergeCell ref="A99:D99"/>
    <mergeCell ref="A100:D100"/>
    <mergeCell ref="A101:D101"/>
    <mergeCell ref="A91:D91"/>
    <mergeCell ref="A171:D171"/>
    <mergeCell ref="A172:D172"/>
    <mergeCell ref="A173:D173"/>
    <mergeCell ref="A174:D174"/>
    <mergeCell ref="B176:E176"/>
    <mergeCell ref="A109:D109"/>
    <mergeCell ref="A110:D110"/>
    <mergeCell ref="A129:D129"/>
    <mergeCell ref="A177:D177"/>
    <mergeCell ref="A183:D183"/>
    <mergeCell ref="A184:D184"/>
    <mergeCell ref="A185:D185"/>
    <mergeCell ref="A619:D619"/>
    <mergeCell ref="A676:D676"/>
    <mergeCell ref="A674:D674"/>
    <mergeCell ref="B689:E689"/>
    <mergeCell ref="A687:D687"/>
    <mergeCell ref="A686:D686"/>
    <mergeCell ref="A396:D396"/>
    <mergeCell ref="A397:D397"/>
    <mergeCell ref="A398:D398"/>
    <mergeCell ref="A673:D673"/>
    <mergeCell ref="A675:D675"/>
    <mergeCell ref="A620:D620"/>
    <mergeCell ref="A601:D601"/>
    <mergeCell ref="A624:D624"/>
    <mergeCell ref="A625:D625"/>
    <mergeCell ref="A626:D626"/>
    <mergeCell ref="B503:E503"/>
    <mergeCell ref="B603:E603"/>
    <mergeCell ref="A611:D611"/>
    <mergeCell ref="B546:E546"/>
    <mergeCell ref="A547:D547"/>
    <mergeCell ref="A548:D548"/>
    <mergeCell ref="A312:D312"/>
    <mergeCell ref="A313:D313"/>
    <mergeCell ref="B194:E194"/>
    <mergeCell ref="A195:D195"/>
    <mergeCell ref="A196:D196"/>
    <mergeCell ref="A197:D197"/>
    <mergeCell ref="B672:E672"/>
    <mergeCell ref="A209:D209"/>
    <mergeCell ref="A210:D210"/>
    <mergeCell ref="A198:D198"/>
    <mergeCell ref="B200:E200"/>
    <mergeCell ref="A201:D201"/>
    <mergeCell ref="A202:D202"/>
    <mergeCell ref="A203:D203"/>
    <mergeCell ref="B386:E386"/>
    <mergeCell ref="B388:E388"/>
    <mergeCell ref="A389:D389"/>
    <mergeCell ref="A390:D390"/>
    <mergeCell ref="A391:D391"/>
    <mergeCell ref="A204:D204"/>
    <mergeCell ref="B206:E206"/>
    <mergeCell ref="A207:D207"/>
    <mergeCell ref="B572:E572"/>
    <mergeCell ref="A573:D573"/>
    <mergeCell ref="A208:D208"/>
    <mergeCell ref="B387:E387"/>
    <mergeCell ref="B237:E237"/>
    <mergeCell ref="A238:D238"/>
    <mergeCell ref="B733:E733"/>
    <mergeCell ref="A653:D653"/>
    <mergeCell ref="B678:E678"/>
    <mergeCell ref="B679:E679"/>
    <mergeCell ref="A561:D561"/>
    <mergeCell ref="A600:D600"/>
    <mergeCell ref="B597:E597"/>
    <mergeCell ref="A568:D568"/>
    <mergeCell ref="B544:E544"/>
    <mergeCell ref="A598:D598"/>
    <mergeCell ref="B649:E649"/>
    <mergeCell ref="A627:D627"/>
    <mergeCell ref="A628:D628"/>
    <mergeCell ref="B630:E630"/>
    <mergeCell ref="A631:D631"/>
    <mergeCell ref="A604:D604"/>
    <mergeCell ref="A599:D599"/>
    <mergeCell ref="A728:D728"/>
    <mergeCell ref="A729:D729"/>
    <mergeCell ref="A605:D605"/>
    <mergeCell ref="A310:D310"/>
    <mergeCell ref="A311:D311"/>
    <mergeCell ref="A224:D224"/>
    <mergeCell ref="B226:E226"/>
    <mergeCell ref="A227:D227"/>
    <mergeCell ref="A228:D228"/>
    <mergeCell ref="A230:D230"/>
    <mergeCell ref="B232:E232"/>
    <mergeCell ref="A233:D233"/>
    <mergeCell ref="A234:D234"/>
    <mergeCell ref="A235:D235"/>
    <mergeCell ref="A239:D239"/>
    <mergeCell ref="A240:D240"/>
    <mergeCell ref="B266:E266"/>
    <mergeCell ref="A267:D267"/>
    <mergeCell ref="A293:D293"/>
    <mergeCell ref="B296:E296"/>
    <mergeCell ref="A297:D297"/>
    <mergeCell ref="A298:D298"/>
    <mergeCell ref="A300:D300"/>
    <mergeCell ref="B302:E302"/>
    <mergeCell ref="B278:E278"/>
    <mergeCell ref="A279:D279"/>
    <mergeCell ref="A280:D280"/>
    <mergeCell ref="A23:D23"/>
    <mergeCell ref="B118:E118"/>
    <mergeCell ref="A25:D25"/>
    <mergeCell ref="A64:D64"/>
    <mergeCell ref="A65:D65"/>
    <mergeCell ref="A24:D24"/>
    <mergeCell ref="A30:D30"/>
    <mergeCell ref="B34:E34"/>
    <mergeCell ref="A35:D35"/>
    <mergeCell ref="A36:D36"/>
    <mergeCell ref="A37:D37"/>
    <mergeCell ref="A38:D38"/>
    <mergeCell ref="A72:D72"/>
    <mergeCell ref="B71:E71"/>
    <mergeCell ref="B63:E63"/>
    <mergeCell ref="B56:E56"/>
    <mergeCell ref="B105:E105"/>
    <mergeCell ref="B112:E112"/>
    <mergeCell ref="A113:D113"/>
    <mergeCell ref="A94:D94"/>
    <mergeCell ref="B90:E90"/>
    <mergeCell ref="A87:D87"/>
    <mergeCell ref="A88:D88"/>
    <mergeCell ref="B96:E96"/>
    <mergeCell ref="A11:E11"/>
    <mergeCell ref="B13:E13"/>
    <mergeCell ref="B14:E14"/>
    <mergeCell ref="A15:D15"/>
    <mergeCell ref="A16:D16"/>
    <mergeCell ref="A17:D17"/>
    <mergeCell ref="A18:D18"/>
    <mergeCell ref="B69:E69"/>
    <mergeCell ref="B20:E20"/>
    <mergeCell ref="B21:E21"/>
    <mergeCell ref="A22:D22"/>
    <mergeCell ref="B62:E62"/>
    <mergeCell ref="B53:E53"/>
    <mergeCell ref="B55:E55"/>
    <mergeCell ref="A66:D66"/>
    <mergeCell ref="A67:D67"/>
    <mergeCell ref="B40:E40"/>
    <mergeCell ref="B41:E41"/>
    <mergeCell ref="A42:D42"/>
    <mergeCell ref="A43:D43"/>
    <mergeCell ref="A44:D44"/>
    <mergeCell ref="A45:D45"/>
    <mergeCell ref="B47:E47"/>
    <mergeCell ref="A48:D48"/>
    <mergeCell ref="B616:E616"/>
    <mergeCell ref="B643:E643"/>
    <mergeCell ref="A644:D644"/>
    <mergeCell ref="A612:D612"/>
    <mergeCell ref="A613:D613"/>
    <mergeCell ref="B609:E609"/>
    <mergeCell ref="B610:E610"/>
    <mergeCell ref="B623:E623"/>
    <mergeCell ref="A153:D153"/>
    <mergeCell ref="A154:D154"/>
    <mergeCell ref="B156:E156"/>
    <mergeCell ref="B188:E188"/>
    <mergeCell ref="A189:D189"/>
    <mergeCell ref="A190:D190"/>
    <mergeCell ref="A191:D191"/>
    <mergeCell ref="A192:D192"/>
    <mergeCell ref="B315:E315"/>
    <mergeCell ref="B212:E212"/>
    <mergeCell ref="B213:E213"/>
    <mergeCell ref="A214:D214"/>
    <mergeCell ref="B219:E219"/>
    <mergeCell ref="B221:E221"/>
    <mergeCell ref="A222:D222"/>
    <mergeCell ref="A223:D223"/>
    <mergeCell ref="A652:D652"/>
    <mergeCell ref="A614:D614"/>
    <mergeCell ref="B328:E328"/>
    <mergeCell ref="A57:D57"/>
    <mergeCell ref="A58:D58"/>
    <mergeCell ref="A60:D60"/>
    <mergeCell ref="A59:D59"/>
    <mergeCell ref="A140:D140"/>
    <mergeCell ref="A141:D141"/>
    <mergeCell ref="A120:D120"/>
    <mergeCell ref="A121:D121"/>
    <mergeCell ref="B182:E182"/>
    <mergeCell ref="A157:D157"/>
    <mergeCell ref="A158:D158"/>
    <mergeCell ref="A159:D159"/>
    <mergeCell ref="A160:D160"/>
    <mergeCell ref="B164:E164"/>
    <mergeCell ref="A165:D165"/>
    <mergeCell ref="A166:D166"/>
    <mergeCell ref="A606:D606"/>
    <mergeCell ref="A607:D607"/>
    <mergeCell ref="B617:E617"/>
    <mergeCell ref="A618:D618"/>
    <mergeCell ref="A621:D621"/>
    <mergeCell ref="B658:E658"/>
    <mergeCell ref="A659:D659"/>
    <mergeCell ref="B650:E650"/>
    <mergeCell ref="A660:D660"/>
    <mergeCell ref="A661:D661"/>
    <mergeCell ref="A662:D662"/>
    <mergeCell ref="B330:E330"/>
    <mergeCell ref="A331:D331"/>
    <mergeCell ref="A332:D332"/>
    <mergeCell ref="A334:D334"/>
    <mergeCell ref="B342:E342"/>
    <mergeCell ref="B343:E343"/>
    <mergeCell ref="A344:D344"/>
    <mergeCell ref="A346:D346"/>
    <mergeCell ref="B380:E380"/>
    <mergeCell ref="A381:D381"/>
    <mergeCell ref="A382:D382"/>
    <mergeCell ref="A384:D384"/>
    <mergeCell ref="A333:D333"/>
    <mergeCell ref="A345:D345"/>
    <mergeCell ref="A352:D352"/>
    <mergeCell ref="A553:D553"/>
    <mergeCell ref="A554:D554"/>
    <mergeCell ref="A555:D555"/>
    <mergeCell ref="A680:D680"/>
    <mergeCell ref="A681:D681"/>
    <mergeCell ref="A647:D647"/>
    <mergeCell ref="B657:E657"/>
    <mergeCell ref="A215:D215"/>
    <mergeCell ref="A216:D216"/>
    <mergeCell ref="A217:D217"/>
    <mergeCell ref="B308:E308"/>
    <mergeCell ref="B309:E309"/>
    <mergeCell ref="B316:E316"/>
    <mergeCell ref="A317:D317"/>
    <mergeCell ref="A319:D319"/>
    <mergeCell ref="A320:D320"/>
    <mergeCell ref="B322:E322"/>
    <mergeCell ref="A323:D323"/>
    <mergeCell ref="A325:D325"/>
    <mergeCell ref="A326:D326"/>
    <mergeCell ref="A318:D318"/>
    <mergeCell ref="A324:D324"/>
    <mergeCell ref="B355:E355"/>
    <mergeCell ref="A356:D356"/>
    <mergeCell ref="A358:D358"/>
    <mergeCell ref="A359:D359"/>
    <mergeCell ref="B329:E329"/>
    <mergeCell ref="A682:D682"/>
    <mergeCell ref="A651:D651"/>
    <mergeCell ref="A731:D731"/>
    <mergeCell ref="A725:D725"/>
    <mergeCell ref="B727:E727"/>
    <mergeCell ref="A668:D668"/>
    <mergeCell ref="A669:D669"/>
    <mergeCell ref="B671:E671"/>
    <mergeCell ref="A632:D632"/>
    <mergeCell ref="A633:D633"/>
    <mergeCell ref="A634:D634"/>
    <mergeCell ref="B636:E636"/>
    <mergeCell ref="A637:D637"/>
    <mergeCell ref="A638:D638"/>
    <mergeCell ref="A639:D639"/>
    <mergeCell ref="A640:D640"/>
    <mergeCell ref="A641:D641"/>
    <mergeCell ref="B665:E665"/>
    <mergeCell ref="A666:D666"/>
    <mergeCell ref="A667:D667"/>
    <mergeCell ref="A654:D654"/>
    <mergeCell ref="A655:D655"/>
    <mergeCell ref="A645:D645"/>
    <mergeCell ref="A646:D646"/>
    <mergeCell ref="A715:D715"/>
    <mergeCell ref="A716:D716"/>
    <mergeCell ref="A717:D717"/>
    <mergeCell ref="A700:D700"/>
    <mergeCell ref="A701:D701"/>
    <mergeCell ref="A702:D702"/>
    <mergeCell ref="A730:D730"/>
    <mergeCell ref="A703:D703"/>
    <mergeCell ref="B720:E720"/>
    <mergeCell ref="B721:E721"/>
    <mergeCell ref="A722:D722"/>
    <mergeCell ref="A723:D723"/>
    <mergeCell ref="A724:D724"/>
    <mergeCell ref="A752:D752"/>
    <mergeCell ref="A743:D743"/>
    <mergeCell ref="A744:D744"/>
    <mergeCell ref="B748:E748"/>
    <mergeCell ref="B742:E742"/>
    <mergeCell ref="B684:E684"/>
    <mergeCell ref="A685:D685"/>
    <mergeCell ref="B705:E705"/>
    <mergeCell ref="A706:D706"/>
    <mergeCell ref="A707:D707"/>
    <mergeCell ref="A708:D708"/>
    <mergeCell ref="A709:D709"/>
    <mergeCell ref="A710:D710"/>
    <mergeCell ref="B712:E712"/>
    <mergeCell ref="A690:D690"/>
    <mergeCell ref="A691:D691"/>
    <mergeCell ref="A692:D692"/>
    <mergeCell ref="B694:E694"/>
    <mergeCell ref="A695:D695"/>
    <mergeCell ref="A696:D696"/>
    <mergeCell ref="A697:D697"/>
    <mergeCell ref="B699:E699"/>
    <mergeCell ref="B713:E713"/>
    <mergeCell ref="A714:D714"/>
    <mergeCell ref="A115:D115"/>
    <mergeCell ref="A116:D116"/>
    <mergeCell ref="A127:D127"/>
    <mergeCell ref="B106:E106"/>
    <mergeCell ref="A107:D107"/>
    <mergeCell ref="A108:D108"/>
    <mergeCell ref="A759:D759"/>
    <mergeCell ref="B734:E734"/>
    <mergeCell ref="B735:E735"/>
    <mergeCell ref="A736:D736"/>
    <mergeCell ref="A737:D737"/>
    <mergeCell ref="A738:D738"/>
    <mergeCell ref="A739:D739"/>
    <mergeCell ref="B754:E754"/>
    <mergeCell ref="A755:D755"/>
    <mergeCell ref="A756:D756"/>
    <mergeCell ref="A757:D757"/>
    <mergeCell ref="A758:D758"/>
    <mergeCell ref="A745:D745"/>
    <mergeCell ref="A746:D746"/>
    <mergeCell ref="B741:E741"/>
    <mergeCell ref="A749:D749"/>
    <mergeCell ref="A750:D750"/>
    <mergeCell ref="A751:D751"/>
    <mergeCell ref="A378:D378"/>
    <mergeCell ref="B413:E413"/>
    <mergeCell ref="A414:D414"/>
    <mergeCell ref="A415:D415"/>
    <mergeCell ref="A417:D417"/>
    <mergeCell ref="B419:E419"/>
    <mergeCell ref="A26:D26"/>
    <mergeCell ref="A102:D102"/>
    <mergeCell ref="A161:D161"/>
    <mergeCell ref="B28:E28"/>
    <mergeCell ref="A29:D29"/>
    <mergeCell ref="A31:D31"/>
    <mergeCell ref="A32:D32"/>
    <mergeCell ref="B77:E77"/>
    <mergeCell ref="A78:D78"/>
    <mergeCell ref="A79:D79"/>
    <mergeCell ref="A81:D81"/>
    <mergeCell ref="A80:D80"/>
    <mergeCell ref="B84:E84"/>
    <mergeCell ref="A85:D85"/>
    <mergeCell ref="A86:D86"/>
    <mergeCell ref="B83:E83"/>
    <mergeCell ref="A122:D122"/>
    <mergeCell ref="A114:D114"/>
    <mergeCell ref="A357:D357"/>
    <mergeCell ref="A371:D371"/>
    <mergeCell ref="A377:D377"/>
    <mergeCell ref="B367:E367"/>
    <mergeCell ref="B368:E368"/>
    <mergeCell ref="A369:D369"/>
    <mergeCell ref="A370:D370"/>
    <mergeCell ref="A372:D372"/>
    <mergeCell ref="B374:E374"/>
    <mergeCell ref="A375:D375"/>
    <mergeCell ref="A376:D376"/>
    <mergeCell ref="B361:E361"/>
    <mergeCell ref="A362:D362"/>
    <mergeCell ref="A363:D363"/>
    <mergeCell ref="A364:D364"/>
    <mergeCell ref="A365:D365"/>
    <mergeCell ref="A595:D595"/>
    <mergeCell ref="A588:D588"/>
    <mergeCell ref="A594:D594"/>
    <mergeCell ref="B571:E571"/>
    <mergeCell ref="B578:E578"/>
    <mergeCell ref="A579:D579"/>
    <mergeCell ref="A580:D580"/>
    <mergeCell ref="A582:D582"/>
    <mergeCell ref="B584:E584"/>
    <mergeCell ref="A581:D581"/>
    <mergeCell ref="A574:D574"/>
    <mergeCell ref="A575:D575"/>
    <mergeCell ref="A576:D576"/>
    <mergeCell ref="A587:D587"/>
    <mergeCell ref="A589:D589"/>
    <mergeCell ref="B591:E591"/>
    <mergeCell ref="A592:D592"/>
    <mergeCell ref="B401:E401"/>
    <mergeCell ref="A402:D402"/>
    <mergeCell ref="A403:D403"/>
    <mergeCell ref="A405:D405"/>
    <mergeCell ref="B407:E407"/>
    <mergeCell ref="A408:D408"/>
    <mergeCell ref="A409:D409"/>
    <mergeCell ref="A411:D411"/>
    <mergeCell ref="A593:D593"/>
    <mergeCell ref="A569:D569"/>
    <mergeCell ref="B552:E552"/>
    <mergeCell ref="B522:E522"/>
    <mergeCell ref="A383:D383"/>
    <mergeCell ref="A258:D258"/>
    <mergeCell ref="B260:E260"/>
    <mergeCell ref="A261:D261"/>
    <mergeCell ref="A262:D262"/>
    <mergeCell ref="A264:D264"/>
    <mergeCell ref="A288:D288"/>
    <mergeCell ref="A303:D303"/>
    <mergeCell ref="A304:D304"/>
    <mergeCell ref="A306:D306"/>
    <mergeCell ref="A347:D347"/>
    <mergeCell ref="B349:E349"/>
    <mergeCell ref="A268:D268"/>
    <mergeCell ref="A270:D270"/>
    <mergeCell ref="B272:E272"/>
    <mergeCell ref="A273:D273"/>
    <mergeCell ref="A274:D274"/>
    <mergeCell ref="A276:D276"/>
    <mergeCell ref="A285:D285"/>
    <mergeCell ref="A286:D286"/>
    <mergeCell ref="B431:E431"/>
    <mergeCell ref="A420:D420"/>
    <mergeCell ref="A416:D416"/>
    <mergeCell ref="B585:E585"/>
    <mergeCell ref="A586:D586"/>
    <mergeCell ref="A350:D350"/>
    <mergeCell ref="A351:D351"/>
    <mergeCell ref="A353:D353"/>
    <mergeCell ref="A392:D392"/>
    <mergeCell ref="B394:E394"/>
    <mergeCell ref="A395:D395"/>
    <mergeCell ref="B530:E530"/>
    <mergeCell ref="A532:D532"/>
    <mergeCell ref="B523:E523"/>
    <mergeCell ref="A524:D524"/>
    <mergeCell ref="A525:D525"/>
    <mergeCell ref="A527:D527"/>
    <mergeCell ref="A526:D526"/>
    <mergeCell ref="A404:D404"/>
    <mergeCell ref="A410:D410"/>
    <mergeCell ref="B400:E400"/>
    <mergeCell ref="A434:D434"/>
    <mergeCell ref="A421:D421"/>
    <mergeCell ref="A423:D423"/>
    <mergeCell ref="A422:D422"/>
    <mergeCell ref="A556:D556"/>
    <mergeCell ref="A557:D557"/>
    <mergeCell ref="B242:E242"/>
    <mergeCell ref="A243:D243"/>
    <mergeCell ref="A244:D244"/>
    <mergeCell ref="A246:D246"/>
    <mergeCell ref="B248:E248"/>
    <mergeCell ref="A249:D249"/>
    <mergeCell ref="A250:D250"/>
    <mergeCell ref="A252:D252"/>
    <mergeCell ref="B254:E254"/>
    <mergeCell ref="A255:D255"/>
    <mergeCell ref="A256:D256"/>
    <mergeCell ref="A229:D229"/>
    <mergeCell ref="B336:E336"/>
    <mergeCell ref="A337:D337"/>
    <mergeCell ref="A338:D338"/>
    <mergeCell ref="A339:D339"/>
    <mergeCell ref="A340:D340"/>
    <mergeCell ref="A245:D245"/>
    <mergeCell ref="A251:D251"/>
    <mergeCell ref="A257:D257"/>
    <mergeCell ref="A263:D263"/>
    <mergeCell ref="A269:D269"/>
    <mergeCell ref="A275:D275"/>
    <mergeCell ref="A281:D281"/>
    <mergeCell ref="A287:D287"/>
    <mergeCell ref="A294:D294"/>
    <mergeCell ref="A299:D299"/>
    <mergeCell ref="A305:D305"/>
    <mergeCell ref="B290:E290"/>
    <mergeCell ref="A291:D291"/>
    <mergeCell ref="A292:D292"/>
    <mergeCell ref="A282:D282"/>
    <mergeCell ref="B284:E284"/>
    <mergeCell ref="A432:D432"/>
    <mergeCell ref="A433:D433"/>
    <mergeCell ref="A435:D435"/>
    <mergeCell ref="B437:E437"/>
    <mergeCell ref="B425:E425"/>
    <mergeCell ref="A426:D426"/>
    <mergeCell ref="A427:D427"/>
    <mergeCell ref="A429:D429"/>
    <mergeCell ref="A428:D428"/>
    <mergeCell ref="A438:D438"/>
    <mergeCell ref="A439:D439"/>
    <mergeCell ref="A458:D458"/>
    <mergeCell ref="A440:D440"/>
    <mergeCell ref="A441:D441"/>
    <mergeCell ref="B443:E443"/>
    <mergeCell ref="A444:D444"/>
    <mergeCell ref="A445:D445"/>
    <mergeCell ref="A447:D447"/>
    <mergeCell ref="B449:E449"/>
    <mergeCell ref="A450:D450"/>
    <mergeCell ref="A451:D451"/>
    <mergeCell ref="A453:D453"/>
    <mergeCell ref="A446:D446"/>
    <mergeCell ref="A452:D452"/>
    <mergeCell ref="A462:D462"/>
    <mergeCell ref="A463:D463"/>
    <mergeCell ref="A465:D465"/>
    <mergeCell ref="B467:E467"/>
    <mergeCell ref="A468:D468"/>
    <mergeCell ref="A464:D464"/>
    <mergeCell ref="B455:E455"/>
    <mergeCell ref="A456:D456"/>
    <mergeCell ref="A457:D457"/>
    <mergeCell ref="A459:D459"/>
    <mergeCell ref="B461:E461"/>
    <mergeCell ref="A483:D483"/>
    <mergeCell ref="B485:E485"/>
    <mergeCell ref="A486:D486"/>
    <mergeCell ref="A487:D487"/>
    <mergeCell ref="A489:D489"/>
    <mergeCell ref="A469:D469"/>
    <mergeCell ref="A471:D471"/>
    <mergeCell ref="B473:E473"/>
    <mergeCell ref="A474:D474"/>
    <mergeCell ref="A475:D475"/>
    <mergeCell ref="A477:D477"/>
    <mergeCell ref="B479:E479"/>
    <mergeCell ref="A480:D480"/>
    <mergeCell ref="A481:D481"/>
    <mergeCell ref="A470:D470"/>
    <mergeCell ref="A476:D476"/>
    <mergeCell ref="B510:E510"/>
    <mergeCell ref="A511:D511"/>
    <mergeCell ref="A512:D512"/>
    <mergeCell ref="A514:D514"/>
    <mergeCell ref="A513:D513"/>
    <mergeCell ref="B516:E516"/>
    <mergeCell ref="A517:D517"/>
    <mergeCell ref="A482:D482"/>
    <mergeCell ref="A488:D488"/>
    <mergeCell ref="A494:D494"/>
    <mergeCell ref="A500:D500"/>
    <mergeCell ref="B504:E504"/>
    <mergeCell ref="A505:D505"/>
    <mergeCell ref="A506:D506"/>
    <mergeCell ref="A507:D507"/>
    <mergeCell ref="A508:D508"/>
    <mergeCell ref="B491:E491"/>
    <mergeCell ref="A492:D492"/>
    <mergeCell ref="A493:D493"/>
    <mergeCell ref="A495:D495"/>
    <mergeCell ref="B497:E497"/>
    <mergeCell ref="A498:D498"/>
    <mergeCell ref="A499:D499"/>
    <mergeCell ref="A501:D501"/>
    <mergeCell ref="A518:D518"/>
    <mergeCell ref="A519:D519"/>
    <mergeCell ref="A520:D520"/>
    <mergeCell ref="B545:E545"/>
    <mergeCell ref="B559:E559"/>
    <mergeCell ref="A560:D560"/>
    <mergeCell ref="B565:E565"/>
    <mergeCell ref="A566:D566"/>
    <mergeCell ref="A567:D567"/>
    <mergeCell ref="B536:E536"/>
    <mergeCell ref="B537:E537"/>
    <mergeCell ref="A531:D531"/>
    <mergeCell ref="A533:D533"/>
    <mergeCell ref="A539:D539"/>
    <mergeCell ref="A540:D540"/>
    <mergeCell ref="A541:D541"/>
    <mergeCell ref="A542:D542"/>
    <mergeCell ref="B529:E529"/>
    <mergeCell ref="A534:D534"/>
    <mergeCell ref="B538:E538"/>
    <mergeCell ref="A549:D549"/>
    <mergeCell ref="A550:D550"/>
    <mergeCell ref="A562:D562"/>
    <mergeCell ref="A563:D563"/>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C948-CF3A-4436-9C11-033262B70E03}">
  <sheetPr>
    <tabColor theme="9" tint="-0.499984740745262"/>
  </sheetPr>
  <dimension ref="A1:F66"/>
  <sheetViews>
    <sheetView view="pageBreakPreview" topLeftCell="A43" zoomScale="90" zoomScaleNormal="95" zoomScaleSheetLayoutView="90" workbookViewId="0">
      <selection activeCell="H57" sqref="H57"/>
    </sheetView>
  </sheetViews>
  <sheetFormatPr defaultColWidth="9" defaultRowHeight="12.75" x14ac:dyDescent="0.2"/>
  <cols>
    <col min="1" max="1" width="19.5" style="31" customWidth="1"/>
    <col min="2" max="2" width="14.125" style="31" customWidth="1"/>
    <col min="3" max="3" width="15.625" style="31" customWidth="1"/>
    <col min="4" max="4" width="13.5" style="31" customWidth="1"/>
    <col min="5" max="5" width="13.625" style="31" customWidth="1"/>
    <col min="6" max="6" width="12.625" style="38" customWidth="1"/>
    <col min="7" max="16384" width="9" style="29"/>
  </cols>
  <sheetData>
    <row r="1" spans="1:6" x14ac:dyDescent="0.2">
      <c r="A1" s="34"/>
      <c r="B1" s="34"/>
      <c r="C1" s="34"/>
      <c r="D1" s="35"/>
      <c r="E1" s="35"/>
      <c r="F1" s="54"/>
    </row>
    <row r="2" spans="1:6" x14ac:dyDescent="0.2">
      <c r="A2" s="34" t="s">
        <v>820</v>
      </c>
      <c r="B2" s="34"/>
      <c r="C2" s="34"/>
      <c r="D2" s="35"/>
      <c r="E2" s="35"/>
      <c r="F2" s="54"/>
    </row>
    <row r="3" spans="1:6" x14ac:dyDescent="0.2">
      <c r="A3" s="34" t="s">
        <v>2</v>
      </c>
      <c r="B3" s="34"/>
      <c r="C3" s="34"/>
      <c r="D3" s="35"/>
      <c r="E3" s="35"/>
      <c r="F3" s="54"/>
    </row>
    <row r="4" spans="1:6" x14ac:dyDescent="0.2">
      <c r="A4" s="34" t="s">
        <v>1348</v>
      </c>
      <c r="B4" s="34"/>
      <c r="C4" s="35"/>
      <c r="D4" s="35"/>
      <c r="E4" s="35"/>
      <c r="F4" s="54"/>
    </row>
    <row r="5" spans="1:6" ht="13.5" thickBot="1" x14ac:dyDescent="0.25">
      <c r="A5" s="34"/>
      <c r="B5" s="34"/>
      <c r="C5" s="34"/>
      <c r="D5" s="35"/>
      <c r="E5" s="35"/>
      <c r="F5" s="54"/>
    </row>
    <row r="6" spans="1:6" s="39" customFormat="1" ht="21" customHeight="1" thickBot="1" x14ac:dyDescent="0.25">
      <c r="A6" s="273" t="s">
        <v>1352</v>
      </c>
      <c r="B6" s="251"/>
      <c r="C6" s="251"/>
      <c r="D6" s="251"/>
      <c r="E6" s="251"/>
      <c r="F6" s="274"/>
    </row>
    <row r="7" spans="1:6" x14ac:dyDescent="0.2">
      <c r="A7" s="30"/>
      <c r="F7" s="32"/>
    </row>
    <row r="8" spans="1:6" ht="17.25" customHeight="1" x14ac:dyDescent="0.2">
      <c r="A8" s="40" t="s">
        <v>827</v>
      </c>
      <c r="B8" s="275" t="s">
        <v>133</v>
      </c>
      <c r="C8" s="276"/>
      <c r="D8" s="276"/>
      <c r="E8" s="276"/>
      <c r="F8" s="277"/>
    </row>
    <row r="9" spans="1:6" s="39" customFormat="1" ht="39.75" customHeight="1" x14ac:dyDescent="0.2">
      <c r="A9" s="41" t="s">
        <v>1092</v>
      </c>
      <c r="B9" s="253" t="s">
        <v>137</v>
      </c>
      <c r="C9" s="254"/>
      <c r="D9" s="254"/>
      <c r="E9" s="254"/>
      <c r="F9" s="255"/>
    </row>
    <row r="10" spans="1:6" s="43" customFormat="1" ht="14.25" customHeight="1" x14ac:dyDescent="0.2">
      <c r="A10" s="267" t="s">
        <v>821</v>
      </c>
      <c r="B10" s="268"/>
      <c r="C10" s="45" t="s">
        <v>824</v>
      </c>
      <c r="D10" s="45" t="s">
        <v>823</v>
      </c>
      <c r="E10" s="45" t="s">
        <v>1095</v>
      </c>
      <c r="F10" s="47" t="s">
        <v>898</v>
      </c>
    </row>
    <row r="11" spans="1:6" s="43" customFormat="1" ht="14.25" customHeight="1" x14ac:dyDescent="0.2">
      <c r="A11" s="270" t="s">
        <v>1357</v>
      </c>
      <c r="B11" s="82"/>
      <c r="C11" s="50">
        <f>3.68+2.4</f>
        <v>6.08</v>
      </c>
      <c r="D11" s="50">
        <v>3.74</v>
      </c>
      <c r="E11" s="50">
        <v>0</v>
      </c>
      <c r="F11" s="72">
        <f>(C11*D11)-E11</f>
        <v>22.7392</v>
      </c>
    </row>
    <row r="12" spans="1:6" s="43" customFormat="1" ht="14.25" customHeight="1" x14ac:dyDescent="0.2">
      <c r="A12" s="271"/>
      <c r="B12" s="82"/>
      <c r="C12" s="50">
        <v>6.46</v>
      </c>
      <c r="D12" s="50">
        <v>3.74</v>
      </c>
      <c r="E12" s="50">
        <v>0</v>
      </c>
      <c r="F12" s="72">
        <f>(C12*D12)-E12</f>
        <v>24.160400000000003</v>
      </c>
    </row>
    <row r="13" spans="1:6" s="43" customFormat="1" ht="14.25" customHeight="1" x14ac:dyDescent="0.2">
      <c r="A13" s="272"/>
      <c r="B13" s="82"/>
      <c r="C13" s="50">
        <f>11.4+1.15</f>
        <v>12.55</v>
      </c>
      <c r="D13" s="50">
        <v>3.74</v>
      </c>
      <c r="E13" s="50">
        <v>0</v>
      </c>
      <c r="F13" s="72">
        <f>(C13*D13)-E13</f>
        <v>46.937000000000005</v>
      </c>
    </row>
    <row r="14" spans="1:6" s="43" customFormat="1" ht="14.25" customHeight="1" x14ac:dyDescent="0.2">
      <c r="A14" s="270" t="s">
        <v>1358</v>
      </c>
      <c r="B14" s="82"/>
      <c r="C14" s="50">
        <f>(11.58)*3+13.32+23.79</f>
        <v>71.849999999999994</v>
      </c>
      <c r="D14" s="50">
        <v>3</v>
      </c>
      <c r="E14" s="50">
        <v>1.44</v>
      </c>
      <c r="F14" s="72">
        <f t="shared" ref="F14:F16" si="0">(C14*D14)-E14</f>
        <v>214.10999999999999</v>
      </c>
    </row>
    <row r="15" spans="1:6" s="43" customFormat="1" ht="14.25" customHeight="1" x14ac:dyDescent="0.2">
      <c r="A15" s="271"/>
      <c r="B15" s="82"/>
      <c r="C15" s="50">
        <f>11.58*3</f>
        <v>34.74</v>
      </c>
      <c r="D15" s="50">
        <v>2.5</v>
      </c>
      <c r="E15" s="50">
        <v>0</v>
      </c>
      <c r="F15" s="72">
        <f t="shared" si="0"/>
        <v>86.850000000000009</v>
      </c>
    </row>
    <row r="16" spans="1:6" s="43" customFormat="1" ht="14.25" customHeight="1" x14ac:dyDescent="0.2">
      <c r="A16" s="272"/>
      <c r="B16" s="140"/>
      <c r="C16" s="50">
        <v>26.8</v>
      </c>
      <c r="D16" s="114">
        <v>3</v>
      </c>
      <c r="E16" s="114">
        <v>1.44</v>
      </c>
      <c r="F16" s="72">
        <f t="shared" si="0"/>
        <v>78.960000000000008</v>
      </c>
    </row>
    <row r="17" spans="1:6" s="43" customFormat="1" ht="14.25" customHeight="1" x14ac:dyDescent="0.2">
      <c r="A17" s="270" t="s">
        <v>1359</v>
      </c>
      <c r="B17" s="82"/>
      <c r="C17" s="50">
        <f>(11.58)*3+13.32+23.79</f>
        <v>71.849999999999994</v>
      </c>
      <c r="D17" s="50">
        <v>3</v>
      </c>
      <c r="E17" s="50">
        <v>1.44</v>
      </c>
      <c r="F17" s="72">
        <f t="shared" ref="F17:F19" si="1">(C17*D17)-E17</f>
        <v>214.10999999999999</v>
      </c>
    </row>
    <row r="18" spans="1:6" s="43" customFormat="1" ht="14.25" customHeight="1" x14ac:dyDescent="0.2">
      <c r="A18" s="271"/>
      <c r="B18" s="82"/>
      <c r="C18" s="50">
        <f>11.58*3</f>
        <v>34.74</v>
      </c>
      <c r="D18" s="50">
        <v>2.5</v>
      </c>
      <c r="E18" s="50">
        <v>0</v>
      </c>
      <c r="F18" s="72">
        <f t="shared" si="1"/>
        <v>86.850000000000009</v>
      </c>
    </row>
    <row r="19" spans="1:6" s="43" customFormat="1" ht="14.25" customHeight="1" x14ac:dyDescent="0.2">
      <c r="A19" s="272"/>
      <c r="B19" s="140"/>
      <c r="C19" s="50">
        <v>26.8</v>
      </c>
      <c r="D19" s="114">
        <v>3</v>
      </c>
      <c r="E19" s="114">
        <v>1.44</v>
      </c>
      <c r="F19" s="72">
        <f t="shared" si="1"/>
        <v>78.960000000000008</v>
      </c>
    </row>
    <row r="20" spans="1:6" s="43" customFormat="1" ht="14.25" customHeight="1" x14ac:dyDescent="0.2">
      <c r="A20" s="270" t="s">
        <v>1360</v>
      </c>
      <c r="B20" s="82"/>
      <c r="C20" s="50">
        <f>(11.58)*3+13.32+23.79</f>
        <v>71.849999999999994</v>
      </c>
      <c r="D20" s="50">
        <v>3</v>
      </c>
      <c r="E20" s="50">
        <v>1.44</v>
      </c>
      <c r="F20" s="72">
        <f t="shared" ref="F20:F22" si="2">(C20*D20)-E20</f>
        <v>214.10999999999999</v>
      </c>
    </row>
    <row r="21" spans="1:6" s="43" customFormat="1" ht="14.25" customHeight="1" x14ac:dyDescent="0.2">
      <c r="A21" s="271"/>
      <c r="B21" s="82"/>
      <c r="C21" s="50">
        <f>11.58*3</f>
        <v>34.74</v>
      </c>
      <c r="D21" s="50">
        <v>2.5</v>
      </c>
      <c r="E21" s="50">
        <v>0</v>
      </c>
      <c r="F21" s="72">
        <f t="shared" si="2"/>
        <v>86.850000000000009</v>
      </c>
    </row>
    <row r="22" spans="1:6" s="43" customFormat="1" ht="14.25" customHeight="1" x14ac:dyDescent="0.2">
      <c r="A22" s="272"/>
      <c r="B22" s="140"/>
      <c r="C22" s="50">
        <v>26.8</v>
      </c>
      <c r="D22" s="114">
        <v>3</v>
      </c>
      <c r="E22" s="114">
        <v>1.44</v>
      </c>
      <c r="F22" s="72">
        <f t="shared" si="2"/>
        <v>78.960000000000008</v>
      </c>
    </row>
    <row r="23" spans="1:6" s="43" customFormat="1" ht="14.25" customHeight="1" x14ac:dyDescent="0.2">
      <c r="A23" s="270" t="s">
        <v>1361</v>
      </c>
      <c r="B23" s="82"/>
      <c r="C23" s="50">
        <f>(11.58)*3+13.32+23.79</f>
        <v>71.849999999999994</v>
      </c>
      <c r="D23" s="50">
        <v>3</v>
      </c>
      <c r="E23" s="50">
        <v>1.44</v>
      </c>
      <c r="F23" s="72">
        <f t="shared" ref="F23:F25" si="3">(C23*D23)-E23</f>
        <v>214.10999999999999</v>
      </c>
    </row>
    <row r="24" spans="1:6" s="43" customFormat="1" ht="14.25" customHeight="1" x14ac:dyDescent="0.2">
      <c r="A24" s="271"/>
      <c r="B24" s="82"/>
      <c r="C24" s="50">
        <f>11.58*3</f>
        <v>34.74</v>
      </c>
      <c r="D24" s="50">
        <v>2.5</v>
      </c>
      <c r="E24" s="50">
        <v>0</v>
      </c>
      <c r="F24" s="72">
        <f t="shared" si="3"/>
        <v>86.850000000000009</v>
      </c>
    </row>
    <row r="25" spans="1:6" s="43" customFormat="1" ht="14.25" customHeight="1" x14ac:dyDescent="0.2">
      <c r="A25" s="272"/>
      <c r="B25" s="140"/>
      <c r="C25" s="50">
        <v>26.8</v>
      </c>
      <c r="D25" s="114">
        <v>3</v>
      </c>
      <c r="E25" s="114">
        <v>1.44</v>
      </c>
      <c r="F25" s="72">
        <f t="shared" si="3"/>
        <v>78.960000000000008</v>
      </c>
    </row>
    <row r="26" spans="1:6" s="49" customFormat="1" ht="16.5" customHeight="1" x14ac:dyDescent="0.2">
      <c r="A26" s="237" t="s">
        <v>1353</v>
      </c>
      <c r="B26" s="238"/>
      <c r="C26" s="238"/>
      <c r="D26" s="238"/>
      <c r="E26" s="238"/>
      <c r="F26" s="69">
        <f>SUM(F11:F25)</f>
        <v>1613.5165999999999</v>
      </c>
    </row>
    <row r="27" spans="1:6" s="39" customFormat="1" ht="14.25" customHeight="1" x14ac:dyDescent="0.2">
      <c r="A27" s="237" t="s">
        <v>1354</v>
      </c>
      <c r="B27" s="238"/>
      <c r="C27" s="238"/>
      <c r="D27" s="238"/>
      <c r="E27" s="238"/>
      <c r="F27" s="46">
        <v>1582.23</v>
      </c>
    </row>
    <row r="28" spans="1:6" s="39" customFormat="1" ht="14.25" customHeight="1" x14ac:dyDescent="0.2">
      <c r="A28" s="237" t="s">
        <v>1355</v>
      </c>
      <c r="B28" s="238"/>
      <c r="C28" s="238"/>
      <c r="D28" s="238"/>
      <c r="E28" s="238"/>
      <c r="F28" s="46">
        <v>1265.8599999999999</v>
      </c>
    </row>
    <row r="29" spans="1:6" s="39" customFormat="1" ht="15.75" customHeight="1" x14ac:dyDescent="0.2">
      <c r="A29" s="239" t="s">
        <v>1356</v>
      </c>
      <c r="B29" s="240"/>
      <c r="C29" s="240"/>
      <c r="D29" s="240"/>
      <c r="E29" s="240"/>
      <c r="F29" s="68">
        <f>F27-F28</f>
        <v>316.37000000000012</v>
      </c>
    </row>
    <row r="30" spans="1:6" s="39" customFormat="1" ht="15.75" customHeight="1" x14ac:dyDescent="0.2">
      <c r="A30" s="278" t="s">
        <v>1362</v>
      </c>
      <c r="B30" s="279"/>
      <c r="C30" s="279"/>
      <c r="D30" s="279"/>
      <c r="E30" s="279"/>
      <c r="F30" s="86">
        <f>F27-F26</f>
        <v>-31.286599999999908</v>
      </c>
    </row>
    <row r="31" spans="1:6" ht="14.25" customHeight="1" x14ac:dyDescent="0.2">
      <c r="A31" s="280"/>
      <c r="B31" s="281"/>
      <c r="C31" s="281"/>
      <c r="D31" s="90"/>
      <c r="E31" s="90"/>
      <c r="F31" s="91"/>
    </row>
    <row r="32" spans="1:6" s="39" customFormat="1" ht="42" customHeight="1" x14ac:dyDescent="0.2">
      <c r="A32" s="41" t="s">
        <v>1140</v>
      </c>
      <c r="B32" s="253" t="s">
        <v>139</v>
      </c>
      <c r="C32" s="254"/>
      <c r="D32" s="254"/>
      <c r="E32" s="254"/>
      <c r="F32" s="255"/>
    </row>
    <row r="33" spans="1:6" s="43" customFormat="1" ht="14.25" customHeight="1" x14ac:dyDescent="0.2">
      <c r="A33" s="267" t="s">
        <v>821</v>
      </c>
      <c r="B33" s="268"/>
      <c r="C33" s="268" t="s">
        <v>824</v>
      </c>
      <c r="D33" s="268"/>
      <c r="E33" s="45" t="s">
        <v>823</v>
      </c>
      <c r="F33" s="47" t="s">
        <v>991</v>
      </c>
    </row>
    <row r="34" spans="1:6" s="43" customFormat="1" ht="14.25" customHeight="1" x14ac:dyDescent="0.2">
      <c r="A34" s="282" t="s">
        <v>1379</v>
      </c>
      <c r="B34" s="82"/>
      <c r="C34" s="269">
        <f>1.6*4</f>
        <v>6.4</v>
      </c>
      <c r="D34" s="269"/>
      <c r="E34" s="50">
        <v>1.8</v>
      </c>
      <c r="F34" s="72">
        <f>C34*E34</f>
        <v>11.520000000000001</v>
      </c>
    </row>
    <row r="35" spans="1:6" s="43" customFormat="1" ht="14.25" customHeight="1" x14ac:dyDescent="0.2">
      <c r="A35" s="282"/>
      <c r="B35" s="82"/>
      <c r="C35" s="269">
        <f>0.3*8</f>
        <v>2.4</v>
      </c>
      <c r="D35" s="269"/>
      <c r="E35" s="50">
        <v>1.8</v>
      </c>
      <c r="F35" s="72">
        <f t="shared" ref="F35:F40" si="4">C35*E35</f>
        <v>4.32</v>
      </c>
    </row>
    <row r="36" spans="1:6" s="43" customFormat="1" ht="14.25" customHeight="1" x14ac:dyDescent="0.2">
      <c r="A36" s="102" t="s">
        <v>1380</v>
      </c>
      <c r="B36" s="82"/>
      <c r="C36" s="269">
        <f>1.1+1.28+0.35+0.35+0.1+0.2</f>
        <v>3.3800000000000003</v>
      </c>
      <c r="D36" s="269"/>
      <c r="E36" s="50">
        <v>1.8</v>
      </c>
      <c r="F36" s="72">
        <f t="shared" si="4"/>
        <v>6.0840000000000005</v>
      </c>
    </row>
    <row r="37" spans="1:6" s="43" customFormat="1" ht="14.25" customHeight="1" x14ac:dyDescent="0.2">
      <c r="A37" s="102" t="s">
        <v>1381</v>
      </c>
      <c r="B37" s="82"/>
      <c r="C37" s="269">
        <f>1.1+1.28+0.35+0.35+0.1+0.2</f>
        <v>3.3800000000000003</v>
      </c>
      <c r="D37" s="269"/>
      <c r="E37" s="50">
        <v>1.8</v>
      </c>
      <c r="F37" s="72">
        <f t="shared" si="4"/>
        <v>6.0840000000000005</v>
      </c>
    </row>
    <row r="38" spans="1:6" s="43" customFormat="1" ht="14.25" customHeight="1" x14ac:dyDescent="0.2">
      <c r="A38" s="102" t="s">
        <v>893</v>
      </c>
      <c r="B38" s="82"/>
      <c r="C38" s="269">
        <f>1.2+1.55+0.62+0.38+0.2+0.03</f>
        <v>3.98</v>
      </c>
      <c r="D38" s="269"/>
      <c r="E38" s="50">
        <v>1.8</v>
      </c>
      <c r="F38" s="72">
        <f t="shared" si="4"/>
        <v>7.1639999999999997</v>
      </c>
    </row>
    <row r="39" spans="1:6" s="43" customFormat="1" ht="14.25" customHeight="1" x14ac:dyDescent="0.2">
      <c r="A39" s="283" t="s">
        <v>1382</v>
      </c>
      <c r="B39" s="82"/>
      <c r="C39" s="269">
        <f>2+2.2+0.4+0.7+0.05</f>
        <v>5.3500000000000005</v>
      </c>
      <c r="D39" s="269"/>
      <c r="E39" s="50">
        <v>1.8</v>
      </c>
      <c r="F39" s="72">
        <f t="shared" si="4"/>
        <v>9.6300000000000008</v>
      </c>
    </row>
    <row r="40" spans="1:6" s="43" customFormat="1" ht="14.25" customHeight="1" x14ac:dyDescent="0.2">
      <c r="A40" s="283"/>
      <c r="B40" s="82"/>
      <c r="C40" s="269">
        <v>0.7</v>
      </c>
      <c r="D40" s="269"/>
      <c r="E40" s="50">
        <v>1</v>
      </c>
      <c r="F40" s="72">
        <f t="shared" si="4"/>
        <v>0.7</v>
      </c>
    </row>
    <row r="41" spans="1:6" s="43" customFormat="1" ht="14.25" customHeight="1" x14ac:dyDescent="0.2">
      <c r="A41" s="81"/>
      <c r="B41" s="82"/>
      <c r="C41" s="114"/>
      <c r="D41" s="114"/>
      <c r="E41" s="50"/>
      <c r="F41" s="72"/>
    </row>
    <row r="42" spans="1:6" s="49" customFormat="1" ht="15" customHeight="1" x14ac:dyDescent="0.2">
      <c r="A42" s="237" t="s">
        <v>1383</v>
      </c>
      <c r="B42" s="238"/>
      <c r="C42" s="238"/>
      <c r="D42" s="238"/>
      <c r="E42" s="238"/>
      <c r="F42" s="69">
        <f>SUM(F34:F40)</f>
        <v>45.50200000000001</v>
      </c>
    </row>
    <row r="43" spans="1:6" s="39" customFormat="1" ht="14.25" customHeight="1" x14ac:dyDescent="0.2">
      <c r="A43" s="237" t="s">
        <v>1384</v>
      </c>
      <c r="B43" s="238"/>
      <c r="C43" s="238"/>
      <c r="D43" s="238"/>
      <c r="E43" s="238"/>
      <c r="F43" s="46">
        <v>69.7</v>
      </c>
    </row>
    <row r="44" spans="1:6" s="39" customFormat="1" ht="14.25" customHeight="1" x14ac:dyDescent="0.2">
      <c r="A44" s="237" t="s">
        <v>1385</v>
      </c>
      <c r="B44" s="238"/>
      <c r="C44" s="238"/>
      <c r="D44" s="238"/>
      <c r="E44" s="238"/>
      <c r="F44" s="46">
        <v>30</v>
      </c>
    </row>
    <row r="45" spans="1:6" s="39" customFormat="1" ht="15.75" customHeight="1" x14ac:dyDescent="0.2">
      <c r="A45" s="239" t="s">
        <v>1386</v>
      </c>
      <c r="B45" s="240"/>
      <c r="C45" s="240"/>
      <c r="D45" s="240"/>
      <c r="E45" s="240"/>
      <c r="F45" s="68">
        <f>F42-F44</f>
        <v>15.50200000000001</v>
      </c>
    </row>
    <row r="46" spans="1:6" x14ac:dyDescent="0.2">
      <c r="A46" s="61"/>
      <c r="B46" s="42"/>
      <c r="C46" s="42"/>
      <c r="D46" s="42"/>
      <c r="E46" s="42"/>
      <c r="F46" s="62"/>
    </row>
    <row r="47" spans="1:6" s="39" customFormat="1" ht="27" customHeight="1" x14ac:dyDescent="0.2">
      <c r="A47" s="41" t="s">
        <v>1142</v>
      </c>
      <c r="B47" s="253" t="s">
        <v>143</v>
      </c>
      <c r="C47" s="254"/>
      <c r="D47" s="254"/>
      <c r="E47" s="254"/>
      <c r="F47" s="255"/>
    </row>
    <row r="48" spans="1:6" s="43" customFormat="1" ht="14.25" customHeight="1" x14ac:dyDescent="0.2">
      <c r="A48" s="267" t="s">
        <v>821</v>
      </c>
      <c r="B48" s="268"/>
      <c r="C48" s="268" t="s">
        <v>824</v>
      </c>
      <c r="D48" s="268"/>
      <c r="E48" s="45" t="s">
        <v>823</v>
      </c>
      <c r="F48" s="47" t="s">
        <v>991</v>
      </c>
    </row>
    <row r="49" spans="1:6" s="43" customFormat="1" ht="14.25" customHeight="1" x14ac:dyDescent="0.2">
      <c r="A49" s="81" t="s">
        <v>1366</v>
      </c>
      <c r="B49" s="82"/>
      <c r="C49" s="269">
        <f>12.62*2</f>
        <v>25.24</v>
      </c>
      <c r="D49" s="269"/>
      <c r="E49" s="50">
        <v>1.4</v>
      </c>
      <c r="F49" s="72">
        <f>C49*E49</f>
        <v>35.335999999999999</v>
      </c>
    </row>
    <row r="50" spans="1:6" s="43" customFormat="1" ht="14.25" customHeight="1" x14ac:dyDescent="0.2">
      <c r="A50" s="270" t="s">
        <v>1367</v>
      </c>
      <c r="B50" s="82"/>
      <c r="C50" s="269">
        <v>10.8</v>
      </c>
      <c r="D50" s="269"/>
      <c r="E50" s="50">
        <v>2.6</v>
      </c>
      <c r="F50" s="72">
        <f t="shared" ref="F50:F59" si="5">C50*E50</f>
        <v>28.080000000000002</v>
      </c>
    </row>
    <row r="51" spans="1:6" s="43" customFormat="1" ht="14.25" customHeight="1" x14ac:dyDescent="0.2">
      <c r="A51" s="272"/>
      <c r="B51" s="82"/>
      <c r="C51" s="269">
        <v>0.8</v>
      </c>
      <c r="D51" s="269"/>
      <c r="E51" s="50">
        <v>1.4</v>
      </c>
      <c r="F51" s="72">
        <f t="shared" si="5"/>
        <v>1.1199999999999999</v>
      </c>
    </row>
    <row r="52" spans="1:6" s="43" customFormat="1" ht="14.25" customHeight="1" x14ac:dyDescent="0.2">
      <c r="A52" s="270" t="s">
        <v>1368</v>
      </c>
      <c r="B52" s="82"/>
      <c r="C52" s="269">
        <v>3.1</v>
      </c>
      <c r="D52" s="269"/>
      <c r="E52" s="50">
        <f>2.9-0.9</f>
        <v>2</v>
      </c>
      <c r="F52" s="72">
        <f t="shared" si="5"/>
        <v>6.2</v>
      </c>
    </row>
    <row r="53" spans="1:6" s="43" customFormat="1" ht="14.25" customHeight="1" x14ac:dyDescent="0.2">
      <c r="A53" s="271"/>
      <c r="B53" s="82"/>
      <c r="C53" s="269">
        <v>4.84</v>
      </c>
      <c r="D53" s="269"/>
      <c r="E53" s="50">
        <f>2.9-1.82</f>
        <v>1.0799999999999998</v>
      </c>
      <c r="F53" s="72">
        <f t="shared" si="5"/>
        <v>5.227199999999999</v>
      </c>
    </row>
    <row r="54" spans="1:6" s="43" customFormat="1" ht="14.25" customHeight="1" x14ac:dyDescent="0.2">
      <c r="A54" s="272"/>
      <c r="B54" s="82"/>
      <c r="C54" s="269">
        <v>2.87</v>
      </c>
      <c r="D54" s="269"/>
      <c r="E54" s="50">
        <f>2.9-0.9</f>
        <v>2</v>
      </c>
      <c r="F54" s="72">
        <f t="shared" si="5"/>
        <v>5.74</v>
      </c>
    </row>
    <row r="55" spans="1:6" s="43" customFormat="1" ht="14.25" customHeight="1" x14ac:dyDescent="0.2">
      <c r="A55" s="81" t="s">
        <v>1369</v>
      </c>
      <c r="B55" s="82"/>
      <c r="C55" s="269">
        <v>15.8</v>
      </c>
      <c r="D55" s="269"/>
      <c r="E55" s="50">
        <f>2.9-0.9</f>
        <v>2</v>
      </c>
      <c r="F55" s="72">
        <f t="shared" si="5"/>
        <v>31.6</v>
      </c>
    </row>
    <row r="56" spans="1:6" s="43" customFormat="1" ht="14.25" customHeight="1" x14ac:dyDescent="0.2">
      <c r="A56" s="270" t="s">
        <v>917</v>
      </c>
      <c r="B56" s="82"/>
      <c r="C56" s="269">
        <v>1.8</v>
      </c>
      <c r="D56" s="269"/>
      <c r="E56" s="50">
        <v>3.4</v>
      </c>
      <c r="F56" s="72">
        <f t="shared" si="5"/>
        <v>6.12</v>
      </c>
    </row>
    <row r="57" spans="1:6" s="43" customFormat="1" ht="14.25" customHeight="1" x14ac:dyDescent="0.2">
      <c r="A57" s="271"/>
      <c r="B57" s="82"/>
      <c r="C57" s="269">
        <v>2.2799999999999998</v>
      </c>
      <c r="D57" s="269"/>
      <c r="E57" s="50">
        <v>1.8</v>
      </c>
      <c r="F57" s="72">
        <f t="shared" si="5"/>
        <v>4.1040000000000001</v>
      </c>
    </row>
    <row r="58" spans="1:6" s="43" customFormat="1" ht="14.25" hidden="1" customHeight="1" x14ac:dyDescent="0.2">
      <c r="A58" s="271"/>
      <c r="B58" s="82"/>
      <c r="C58" s="269">
        <v>8.8000000000000007</v>
      </c>
      <c r="D58" s="269"/>
      <c r="E58" s="50">
        <v>2.93</v>
      </c>
      <c r="F58" s="72">
        <f t="shared" si="5"/>
        <v>25.784000000000002</v>
      </c>
    </row>
    <row r="59" spans="1:6" s="43" customFormat="1" ht="14.25" hidden="1" customHeight="1" x14ac:dyDescent="0.2">
      <c r="A59" s="272"/>
      <c r="B59" s="82"/>
      <c r="C59" s="269">
        <v>45.92</v>
      </c>
      <c r="D59" s="269"/>
      <c r="E59" s="50">
        <v>3.06</v>
      </c>
      <c r="F59" s="72">
        <f t="shared" si="5"/>
        <v>140.51520000000002</v>
      </c>
    </row>
    <row r="60" spans="1:6" s="43" customFormat="1" ht="14.25" hidden="1" customHeight="1" x14ac:dyDescent="0.2">
      <c r="A60" s="81" t="s">
        <v>1370</v>
      </c>
      <c r="B60" s="82"/>
      <c r="C60" s="269">
        <v>10.8</v>
      </c>
      <c r="D60" s="269"/>
      <c r="E60" s="50">
        <v>2.5</v>
      </c>
      <c r="F60" s="72">
        <f>C60*E60</f>
        <v>27</v>
      </c>
    </row>
    <row r="61" spans="1:6" s="43" customFormat="1" ht="14.25" customHeight="1" x14ac:dyDescent="0.2">
      <c r="A61" s="81"/>
      <c r="B61" s="82"/>
      <c r="C61" s="114"/>
      <c r="D61" s="114"/>
      <c r="E61" s="50"/>
      <c r="F61" s="72"/>
    </row>
    <row r="62" spans="1:6" s="49" customFormat="1" ht="15" customHeight="1" x14ac:dyDescent="0.2">
      <c r="A62" s="237" t="s">
        <v>1371</v>
      </c>
      <c r="B62" s="238"/>
      <c r="C62" s="238"/>
      <c r="D62" s="238"/>
      <c r="E62" s="238"/>
      <c r="F62" s="69">
        <f>SUM(F49:F57)</f>
        <v>123.52720000000001</v>
      </c>
    </row>
    <row r="63" spans="1:6" s="39" customFormat="1" ht="14.25" customHeight="1" x14ac:dyDescent="0.2">
      <c r="A63" s="237" t="s">
        <v>1372</v>
      </c>
      <c r="B63" s="238"/>
      <c r="C63" s="238"/>
      <c r="D63" s="238"/>
      <c r="E63" s="238"/>
      <c r="F63" s="46">
        <v>182.58</v>
      </c>
    </row>
    <row r="64" spans="1:6" s="39" customFormat="1" ht="14.25" customHeight="1" x14ac:dyDescent="0.2">
      <c r="A64" s="237" t="s">
        <v>1373</v>
      </c>
      <c r="B64" s="238"/>
      <c r="C64" s="238"/>
      <c r="D64" s="238"/>
      <c r="E64" s="238"/>
      <c r="F64" s="46">
        <v>75</v>
      </c>
    </row>
    <row r="65" spans="1:6" s="39" customFormat="1" ht="16.5" customHeight="1" x14ac:dyDescent="0.2">
      <c r="A65" s="265" t="s">
        <v>1374</v>
      </c>
      <c r="B65" s="266"/>
      <c r="C65" s="266"/>
      <c r="D65" s="266"/>
      <c r="E65" s="266"/>
      <c r="F65" s="172">
        <f>F62-F64</f>
        <v>48.527200000000008</v>
      </c>
    </row>
    <row r="66" spans="1:6" x14ac:dyDescent="0.2">
      <c r="A66" s="61"/>
      <c r="B66" s="42"/>
      <c r="C66" s="42"/>
      <c r="D66" s="42"/>
      <c r="E66" s="42"/>
      <c r="F66" s="62"/>
    </row>
  </sheetData>
  <mergeCells count="53">
    <mergeCell ref="C54:D54"/>
    <mergeCell ref="A33:B33"/>
    <mergeCell ref="C33:D33"/>
    <mergeCell ref="C34:D34"/>
    <mergeCell ref="C35:D35"/>
    <mergeCell ref="C36:D36"/>
    <mergeCell ref="A42:E42"/>
    <mergeCell ref="A43:E43"/>
    <mergeCell ref="A44:E44"/>
    <mergeCell ref="A45:E45"/>
    <mergeCell ref="A34:A35"/>
    <mergeCell ref="A39:A40"/>
    <mergeCell ref="C37:D37"/>
    <mergeCell ref="C38:D38"/>
    <mergeCell ref="C39:D39"/>
    <mergeCell ref="C40:D40"/>
    <mergeCell ref="B32:F32"/>
    <mergeCell ref="A27:E27"/>
    <mergeCell ref="A29:E29"/>
    <mergeCell ref="A31:C31"/>
    <mergeCell ref="A28:E28"/>
    <mergeCell ref="B47:F47"/>
    <mergeCell ref="C55:D55"/>
    <mergeCell ref="C60:D60"/>
    <mergeCell ref="A6:F6"/>
    <mergeCell ref="B8:F8"/>
    <mergeCell ref="B9:F9"/>
    <mergeCell ref="A10:B10"/>
    <mergeCell ref="A26:E26"/>
    <mergeCell ref="A14:A16"/>
    <mergeCell ref="A17:A19"/>
    <mergeCell ref="A20:A22"/>
    <mergeCell ref="A23:A25"/>
    <mergeCell ref="A11:A13"/>
    <mergeCell ref="A30:E30"/>
    <mergeCell ref="C50:D50"/>
    <mergeCell ref="C51:D51"/>
    <mergeCell ref="A65:E65"/>
    <mergeCell ref="A64:E64"/>
    <mergeCell ref="A48:B48"/>
    <mergeCell ref="C48:D48"/>
    <mergeCell ref="C49:D49"/>
    <mergeCell ref="C59:D59"/>
    <mergeCell ref="A62:E62"/>
    <mergeCell ref="A63:E63"/>
    <mergeCell ref="A52:A54"/>
    <mergeCell ref="C52:D52"/>
    <mergeCell ref="C56:D56"/>
    <mergeCell ref="C57:D57"/>
    <mergeCell ref="C58:D58"/>
    <mergeCell ref="A50:A51"/>
    <mergeCell ref="A56:A59"/>
    <mergeCell ref="C53:D53"/>
  </mergeCells>
  <printOptions horizontalCentered="1"/>
  <pageMargins left="0.51181102362204722" right="0.51181102362204722" top="0.78740157480314965" bottom="0.78740157480314965" header="0.31496062992125984" footer="0.31496062992125984"/>
  <pageSetup paperSize="9" scale="85" orientation="portrait" horizontalDpi="360"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3DA3D-07D0-48DA-AC7F-B649C4B3FC34}">
  <sheetPr>
    <tabColor theme="9" tint="-0.499984740745262"/>
  </sheetPr>
  <dimension ref="A6:E118"/>
  <sheetViews>
    <sheetView view="pageBreakPreview" topLeftCell="A7" zoomScale="90" zoomScaleNormal="95" zoomScaleSheetLayoutView="90" workbookViewId="0">
      <selection activeCell="F7" sqref="F1:F1048576"/>
    </sheetView>
  </sheetViews>
  <sheetFormatPr defaultColWidth="9" defaultRowHeight="12.75" x14ac:dyDescent="0.2"/>
  <cols>
    <col min="1" max="1" width="14.625" style="31" customWidth="1"/>
    <col min="2" max="2" width="17.625" style="31" customWidth="1"/>
    <col min="3" max="3" width="21.875" style="31" customWidth="1"/>
    <col min="4" max="4" width="15.5" style="31" customWidth="1"/>
    <col min="5" max="5" width="12.625" style="38" customWidth="1"/>
    <col min="6" max="7" width="9" style="29"/>
    <col min="8" max="8" width="23" style="29" customWidth="1"/>
    <col min="9" max="16384" width="9" style="29"/>
  </cols>
  <sheetData>
    <row r="6" spans="1:5" x14ac:dyDescent="0.2">
      <c r="A6" s="34" t="s">
        <v>820</v>
      </c>
      <c r="B6" s="34"/>
      <c r="C6" s="35"/>
      <c r="D6" s="35"/>
      <c r="E6" s="54"/>
    </row>
    <row r="7" spans="1:5" x14ac:dyDescent="0.2">
      <c r="A7" s="34" t="s">
        <v>2</v>
      </c>
      <c r="B7" s="34"/>
      <c r="C7" s="35"/>
      <c r="D7" s="35"/>
      <c r="E7" s="54"/>
    </row>
    <row r="8" spans="1:5" x14ac:dyDescent="0.2">
      <c r="A8" s="33" t="s">
        <v>1348</v>
      </c>
      <c r="B8" s="34"/>
      <c r="C8" s="35"/>
      <c r="D8" s="35"/>
      <c r="E8" s="54"/>
    </row>
    <row r="9" spans="1:5" ht="13.5" thickBot="1" x14ac:dyDescent="0.25">
      <c r="A9" s="55"/>
      <c r="B9" s="55"/>
      <c r="C9" s="55"/>
      <c r="D9" s="55"/>
      <c r="E9" s="55"/>
    </row>
    <row r="10" spans="1:5" s="39" customFormat="1" ht="21" customHeight="1" thickBot="1" x14ac:dyDescent="0.25">
      <c r="A10" s="273" t="s">
        <v>1352</v>
      </c>
      <c r="B10" s="251"/>
      <c r="C10" s="251"/>
      <c r="D10" s="251"/>
      <c r="E10" s="274"/>
    </row>
    <row r="11" spans="1:5" x14ac:dyDescent="0.2">
      <c r="A11" s="30"/>
      <c r="E11" s="32"/>
    </row>
    <row r="12" spans="1:5" ht="17.25" customHeight="1" x14ac:dyDescent="0.2">
      <c r="A12" s="40" t="s">
        <v>1043</v>
      </c>
      <c r="B12" s="234" t="s">
        <v>145</v>
      </c>
      <c r="C12" s="234"/>
      <c r="D12" s="234"/>
      <c r="E12" s="234"/>
    </row>
    <row r="13" spans="1:5" s="39" customFormat="1" ht="39.75" hidden="1" customHeight="1" x14ac:dyDescent="0.2">
      <c r="A13" s="41" t="s">
        <v>1891</v>
      </c>
      <c r="B13" s="235" t="s">
        <v>1892</v>
      </c>
      <c r="C13" s="235"/>
      <c r="D13" s="235"/>
      <c r="E13" s="235"/>
    </row>
    <row r="14" spans="1:5" s="43" customFormat="1" ht="14.25" hidden="1" customHeight="1" x14ac:dyDescent="0.2">
      <c r="A14" s="261" t="s">
        <v>1893</v>
      </c>
      <c r="B14" s="262"/>
      <c r="C14" s="262"/>
      <c r="D14" s="262"/>
      <c r="E14" s="185">
        <v>242755</v>
      </c>
    </row>
    <row r="15" spans="1:5" ht="6.75" hidden="1" customHeight="1" x14ac:dyDescent="0.2">
      <c r="A15" s="285"/>
      <c r="B15" s="286"/>
      <c r="C15" s="48"/>
      <c r="D15" s="48"/>
      <c r="E15" s="186"/>
    </row>
    <row r="16" spans="1:5" ht="14.25" hidden="1" customHeight="1" x14ac:dyDescent="0.2">
      <c r="A16" s="228" t="s">
        <v>1894</v>
      </c>
      <c r="B16" s="229"/>
      <c r="C16" s="229"/>
      <c r="D16" s="229"/>
      <c r="E16" s="186">
        <v>244040</v>
      </c>
    </row>
    <row r="17" spans="1:5" ht="14.25" hidden="1" customHeight="1" x14ac:dyDescent="0.2">
      <c r="A17" s="228" t="s">
        <v>1895</v>
      </c>
      <c r="B17" s="229"/>
      <c r="C17" s="229"/>
      <c r="D17" s="229"/>
      <c r="E17" s="186">
        <v>237555.28</v>
      </c>
    </row>
    <row r="18" spans="1:5" ht="14.25" hidden="1" customHeight="1" x14ac:dyDescent="0.2">
      <c r="A18" s="241" t="s">
        <v>1896</v>
      </c>
      <c r="B18" s="242"/>
      <c r="C18" s="242"/>
      <c r="D18" s="242"/>
      <c r="E18" s="187">
        <f>E14-E17</f>
        <v>5199.7200000000012</v>
      </c>
    </row>
    <row r="19" spans="1:5" ht="14.25" hidden="1" customHeight="1" x14ac:dyDescent="0.2">
      <c r="A19" s="285"/>
      <c r="B19" s="286"/>
      <c r="C19" s="48"/>
      <c r="D19" s="48"/>
      <c r="E19" s="58"/>
    </row>
    <row r="20" spans="1:5" s="39" customFormat="1" ht="39.75" hidden="1" customHeight="1" x14ac:dyDescent="0.2">
      <c r="A20" s="41" t="s">
        <v>841</v>
      </c>
      <c r="B20" s="235" t="s">
        <v>1897</v>
      </c>
      <c r="C20" s="235"/>
      <c r="D20" s="235"/>
      <c r="E20" s="235"/>
    </row>
    <row r="21" spans="1:5" s="43" customFormat="1" ht="14.25" hidden="1" customHeight="1" x14ac:dyDescent="0.2">
      <c r="A21" s="267" t="s">
        <v>821</v>
      </c>
      <c r="B21" s="268"/>
      <c r="C21" s="45"/>
      <c r="D21" s="45"/>
      <c r="E21" s="105" t="s">
        <v>1898</v>
      </c>
    </row>
    <row r="22" spans="1:5" ht="14.25" hidden="1" customHeight="1" x14ac:dyDescent="0.2">
      <c r="A22" s="270" t="s">
        <v>1899</v>
      </c>
      <c r="B22" s="284"/>
      <c r="C22" s="88"/>
      <c r="D22" s="88"/>
      <c r="E22" s="105">
        <v>10</v>
      </c>
    </row>
    <row r="23" spans="1:5" ht="14.25" hidden="1" customHeight="1" x14ac:dyDescent="0.2">
      <c r="A23" s="103" t="s">
        <v>1900</v>
      </c>
      <c r="B23" s="188"/>
      <c r="C23" s="88"/>
      <c r="D23" s="88"/>
      <c r="E23" s="105">
        <v>38.5</v>
      </c>
    </row>
    <row r="24" spans="1:5" ht="14.25" hidden="1" customHeight="1" x14ac:dyDescent="0.2">
      <c r="A24" s="103" t="s">
        <v>1901</v>
      </c>
      <c r="B24" s="188"/>
      <c r="C24" s="88"/>
      <c r="D24" s="88"/>
      <c r="E24" s="105">
        <v>77</v>
      </c>
    </row>
    <row r="25" spans="1:5" ht="14.25" hidden="1" customHeight="1" x14ac:dyDescent="0.2">
      <c r="A25" s="103" t="s">
        <v>1902</v>
      </c>
      <c r="B25" s="188"/>
      <c r="C25" s="88"/>
      <c r="D25" s="88"/>
      <c r="E25" s="105">
        <v>28.9</v>
      </c>
    </row>
    <row r="26" spans="1:5" ht="14.25" hidden="1" customHeight="1" x14ac:dyDescent="0.2">
      <c r="A26" s="103" t="s">
        <v>1903</v>
      </c>
      <c r="B26" s="188"/>
      <c r="C26" s="88"/>
      <c r="D26" s="88"/>
      <c r="E26" s="105">
        <v>28</v>
      </c>
    </row>
    <row r="27" spans="1:5" ht="14.25" hidden="1" customHeight="1" x14ac:dyDescent="0.2">
      <c r="A27" s="270" t="s">
        <v>1904</v>
      </c>
      <c r="B27" s="284"/>
      <c r="C27" s="88"/>
      <c r="D27" s="88"/>
      <c r="E27" s="105">
        <f>14+20</f>
        <v>34</v>
      </c>
    </row>
    <row r="28" spans="1:5" ht="14.25" hidden="1" customHeight="1" x14ac:dyDescent="0.2">
      <c r="A28" s="103" t="s">
        <v>1905</v>
      </c>
      <c r="B28" s="188"/>
      <c r="C28" s="88"/>
      <c r="D28" s="88"/>
      <c r="E28" s="105">
        <v>23</v>
      </c>
    </row>
    <row r="29" spans="1:5" ht="14.25" hidden="1" customHeight="1" x14ac:dyDescent="0.2">
      <c r="A29" s="103" t="s">
        <v>1906</v>
      </c>
      <c r="B29" s="188"/>
      <c r="C29" s="88"/>
      <c r="D29" s="88"/>
      <c r="E29" s="105">
        <v>38</v>
      </c>
    </row>
    <row r="30" spans="1:5" ht="14.25" hidden="1" customHeight="1" x14ac:dyDescent="0.2">
      <c r="A30" s="270" t="s">
        <v>1907</v>
      </c>
      <c r="B30" s="284"/>
      <c r="C30" s="88"/>
      <c r="D30" s="88"/>
      <c r="E30" s="105">
        <v>0.8</v>
      </c>
    </row>
    <row r="31" spans="1:5" ht="14.25" hidden="1" customHeight="1" x14ac:dyDescent="0.2">
      <c r="A31" s="270" t="s">
        <v>1908</v>
      </c>
      <c r="B31" s="284"/>
      <c r="C31" s="88"/>
      <c r="D31" s="88"/>
      <c r="E31" s="105">
        <v>2.2000000000000002</v>
      </c>
    </row>
    <row r="32" spans="1:5" ht="14.25" hidden="1" customHeight="1" x14ac:dyDescent="0.2">
      <c r="A32" s="103" t="s">
        <v>1909</v>
      </c>
      <c r="B32" s="188"/>
      <c r="C32" s="88"/>
      <c r="D32" s="88"/>
      <c r="E32" s="105">
        <v>2.2000000000000002</v>
      </c>
    </row>
    <row r="33" spans="1:5" ht="14.25" hidden="1" customHeight="1" x14ac:dyDescent="0.2">
      <c r="A33" s="103" t="s">
        <v>1910</v>
      </c>
      <c r="B33" s="188"/>
      <c r="C33" s="88"/>
      <c r="D33" s="88"/>
      <c r="E33" s="105">
        <v>20.2</v>
      </c>
    </row>
    <row r="34" spans="1:5" ht="14.25" hidden="1" customHeight="1" x14ac:dyDescent="0.2">
      <c r="A34" s="103" t="s">
        <v>1911</v>
      </c>
      <c r="B34" s="188"/>
      <c r="C34" s="88"/>
      <c r="D34" s="88"/>
      <c r="E34" s="105">
        <v>45.5</v>
      </c>
    </row>
    <row r="35" spans="1:5" ht="14.25" hidden="1" customHeight="1" x14ac:dyDescent="0.2">
      <c r="A35" s="103" t="s">
        <v>1912</v>
      </c>
      <c r="B35" s="188"/>
      <c r="C35" s="88"/>
      <c r="D35" s="88"/>
      <c r="E35" s="105">
        <f>49*3</f>
        <v>147</v>
      </c>
    </row>
    <row r="36" spans="1:5" ht="14.25" hidden="1" customHeight="1" x14ac:dyDescent="0.2">
      <c r="A36" s="103" t="s">
        <v>1913</v>
      </c>
      <c r="B36" s="188"/>
      <c r="C36" s="88"/>
      <c r="D36" s="88"/>
      <c r="E36" s="105">
        <v>96</v>
      </c>
    </row>
    <row r="37" spans="1:5" ht="14.25" hidden="1" customHeight="1" x14ac:dyDescent="0.2">
      <c r="A37" s="103" t="s">
        <v>1914</v>
      </c>
      <c r="B37" s="188"/>
      <c r="C37" s="88"/>
      <c r="D37" s="88"/>
      <c r="E37" s="105">
        <f>97/2</f>
        <v>48.5</v>
      </c>
    </row>
    <row r="38" spans="1:5" ht="14.25" hidden="1" customHeight="1" x14ac:dyDescent="0.2">
      <c r="A38" s="103" t="s">
        <v>1915</v>
      </c>
      <c r="B38" s="188"/>
      <c r="C38" s="88"/>
      <c r="D38" s="88"/>
      <c r="E38" s="105">
        <v>99</v>
      </c>
    </row>
    <row r="39" spans="1:5" ht="14.25" hidden="1" customHeight="1" x14ac:dyDescent="0.2">
      <c r="A39" s="103" t="s">
        <v>1916</v>
      </c>
      <c r="B39" s="188"/>
      <c r="C39" s="88"/>
      <c r="D39" s="88"/>
      <c r="E39" s="105">
        <f>59/2</f>
        <v>29.5</v>
      </c>
    </row>
    <row r="40" spans="1:5" ht="14.25" hidden="1" customHeight="1" x14ac:dyDescent="0.2">
      <c r="A40" s="283" t="s">
        <v>1917</v>
      </c>
      <c r="B40" s="289"/>
      <c r="C40" s="289"/>
      <c r="D40" s="88"/>
      <c r="E40" s="105">
        <f>40.5+4.05</f>
        <v>44.55</v>
      </c>
    </row>
    <row r="41" spans="1:5" ht="14.25" hidden="1" customHeight="1" x14ac:dyDescent="0.2">
      <c r="A41" s="270" t="s">
        <v>1918</v>
      </c>
      <c r="B41" s="284"/>
      <c r="C41" s="88"/>
      <c r="D41" s="88"/>
      <c r="E41" s="105">
        <f>12.3</f>
        <v>12.3</v>
      </c>
    </row>
    <row r="42" spans="1:5" ht="14.25" hidden="1" customHeight="1" x14ac:dyDescent="0.2">
      <c r="A42" s="270" t="s">
        <v>1919</v>
      </c>
      <c r="B42" s="284"/>
      <c r="C42" s="88"/>
      <c r="D42" s="88"/>
      <c r="E42" s="105">
        <f>9.2+0.92</f>
        <v>10.119999999999999</v>
      </c>
    </row>
    <row r="43" spans="1:5" ht="14.25" hidden="1" customHeight="1" x14ac:dyDescent="0.2">
      <c r="A43" s="270" t="s">
        <v>1920</v>
      </c>
      <c r="B43" s="284"/>
      <c r="C43" s="88"/>
      <c r="D43" s="88"/>
      <c r="E43" s="105">
        <f>18.3/2</f>
        <v>9.15</v>
      </c>
    </row>
    <row r="44" spans="1:5" ht="14.25" hidden="1" customHeight="1" x14ac:dyDescent="0.2">
      <c r="A44" s="103" t="s">
        <v>1921</v>
      </c>
      <c r="B44" s="188"/>
      <c r="C44" s="88"/>
      <c r="D44" s="88"/>
      <c r="E44" s="105">
        <f>120.1/2</f>
        <v>60.05</v>
      </c>
    </row>
    <row r="45" spans="1:5" ht="14.25" hidden="1" customHeight="1" x14ac:dyDescent="0.2">
      <c r="A45" s="270" t="s">
        <v>1922</v>
      </c>
      <c r="B45" s="284"/>
      <c r="C45" s="88"/>
      <c r="D45" s="88"/>
      <c r="E45" s="105">
        <f>2.2</f>
        <v>2.2000000000000002</v>
      </c>
    </row>
    <row r="46" spans="1:5" ht="14.25" hidden="1" customHeight="1" x14ac:dyDescent="0.2">
      <c r="A46" s="189" t="s">
        <v>1923</v>
      </c>
      <c r="B46" s="190"/>
      <c r="C46" s="88"/>
      <c r="D46" s="88"/>
      <c r="E46" s="105">
        <f>8.62+25.87+84.7</f>
        <v>119.19</v>
      </c>
    </row>
    <row r="47" spans="1:5" ht="15" hidden="1" customHeight="1" x14ac:dyDescent="0.2">
      <c r="A47" s="256" t="s">
        <v>1924</v>
      </c>
      <c r="B47" s="256"/>
      <c r="C47" s="256"/>
      <c r="D47" s="228"/>
      <c r="E47" s="46">
        <f>SUM(E22:E46)</f>
        <v>1025.8599999999999</v>
      </c>
    </row>
    <row r="48" spans="1:5" ht="15" hidden="1" customHeight="1" x14ac:dyDescent="0.2">
      <c r="A48" s="256" t="s">
        <v>1925</v>
      </c>
      <c r="B48" s="256"/>
      <c r="C48" s="256"/>
      <c r="D48" s="228"/>
      <c r="E48" s="46">
        <v>1025.68</v>
      </c>
    </row>
    <row r="49" spans="1:5" ht="15" hidden="1" customHeight="1" x14ac:dyDescent="0.2">
      <c r="A49" s="256" t="s">
        <v>1926</v>
      </c>
      <c r="B49" s="256"/>
      <c r="C49" s="256"/>
      <c r="D49" s="228"/>
      <c r="E49" s="46">
        <v>565.70000000000005</v>
      </c>
    </row>
    <row r="50" spans="1:5" ht="15" hidden="1" customHeight="1" x14ac:dyDescent="0.2">
      <c r="A50" s="287" t="s">
        <v>1927</v>
      </c>
      <c r="B50" s="287"/>
      <c r="C50" s="287"/>
      <c r="D50" s="288"/>
      <c r="E50" s="60">
        <f>E48-E49</f>
        <v>459.98</v>
      </c>
    </row>
    <row r="51" spans="1:5" ht="15" hidden="1" customHeight="1" x14ac:dyDescent="0.2">
      <c r="A51" s="290" t="s">
        <v>1928</v>
      </c>
      <c r="B51" s="290"/>
      <c r="C51" s="290"/>
      <c r="D51" s="243"/>
      <c r="E51" s="191">
        <f>E48-E47</f>
        <v>-0.17999999999983629</v>
      </c>
    </row>
    <row r="52" spans="1:5" hidden="1" x14ac:dyDescent="0.2">
      <c r="A52" s="30"/>
      <c r="E52" s="32"/>
    </row>
    <row r="53" spans="1:5" s="39" customFormat="1" ht="39.75" hidden="1" customHeight="1" x14ac:dyDescent="0.2">
      <c r="A53" s="41" t="s">
        <v>843</v>
      </c>
      <c r="B53" s="235" t="s">
        <v>844</v>
      </c>
      <c r="C53" s="235"/>
      <c r="D53" s="235"/>
      <c r="E53" s="235"/>
    </row>
    <row r="54" spans="1:5" s="43" customFormat="1" ht="14.25" hidden="1" customHeight="1" x14ac:dyDescent="0.2">
      <c r="A54" s="267" t="s">
        <v>821</v>
      </c>
      <c r="B54" s="268"/>
      <c r="C54" s="45"/>
      <c r="D54" s="45"/>
      <c r="E54" s="105" t="s">
        <v>1898</v>
      </c>
    </row>
    <row r="55" spans="1:5" ht="14.25" hidden="1" customHeight="1" x14ac:dyDescent="0.2">
      <c r="A55" s="270" t="s">
        <v>1899</v>
      </c>
      <c r="B55" s="284"/>
      <c r="C55" s="88"/>
      <c r="D55" s="88"/>
      <c r="E55" s="105">
        <v>14</v>
      </c>
    </row>
    <row r="56" spans="1:5" ht="14.25" hidden="1" customHeight="1" x14ac:dyDescent="0.2">
      <c r="A56" s="270" t="s">
        <v>1900</v>
      </c>
      <c r="B56" s="284"/>
      <c r="C56" s="88"/>
      <c r="D56" s="88"/>
      <c r="E56" s="105">
        <v>65.5</v>
      </c>
    </row>
    <row r="57" spans="1:5" ht="14.25" hidden="1" customHeight="1" x14ac:dyDescent="0.2">
      <c r="A57" s="103" t="s">
        <v>1903</v>
      </c>
      <c r="B57" s="188"/>
      <c r="C57" s="88"/>
      <c r="D57" s="88"/>
      <c r="E57" s="105">
        <v>218</v>
      </c>
    </row>
    <row r="58" spans="1:5" ht="14.25" hidden="1" customHeight="1" x14ac:dyDescent="0.2">
      <c r="A58" s="270" t="s">
        <v>1904</v>
      </c>
      <c r="B58" s="284"/>
      <c r="C58" s="88"/>
      <c r="D58" s="88"/>
      <c r="E58" s="105">
        <f>17</f>
        <v>17</v>
      </c>
    </row>
    <row r="59" spans="1:5" ht="15" hidden="1" customHeight="1" x14ac:dyDescent="0.2">
      <c r="A59" s="256" t="s">
        <v>1924</v>
      </c>
      <c r="B59" s="256"/>
      <c r="C59" s="256"/>
      <c r="D59" s="228"/>
      <c r="E59" s="46">
        <f>SUM(E55:E58)</f>
        <v>314.5</v>
      </c>
    </row>
    <row r="60" spans="1:5" ht="15" hidden="1" customHeight="1" x14ac:dyDescent="0.2">
      <c r="A60" s="256" t="s">
        <v>1925</v>
      </c>
      <c r="B60" s="256"/>
      <c r="C60" s="256"/>
      <c r="D60" s="228"/>
      <c r="E60" s="46">
        <v>314.5</v>
      </c>
    </row>
    <row r="61" spans="1:5" ht="15" hidden="1" customHeight="1" x14ac:dyDescent="0.2">
      <c r="A61" s="256" t="s">
        <v>1926</v>
      </c>
      <c r="B61" s="256"/>
      <c r="C61" s="256"/>
      <c r="D61" s="228"/>
      <c r="E61" s="46">
        <v>96.5</v>
      </c>
    </row>
    <row r="62" spans="1:5" ht="15" hidden="1" customHeight="1" x14ac:dyDescent="0.2">
      <c r="A62" s="287" t="s">
        <v>1927</v>
      </c>
      <c r="B62" s="287"/>
      <c r="C62" s="287"/>
      <c r="D62" s="288"/>
      <c r="E62" s="60">
        <f>E60-E61</f>
        <v>218</v>
      </c>
    </row>
    <row r="63" spans="1:5" hidden="1" x14ac:dyDescent="0.2">
      <c r="A63" s="30"/>
      <c r="E63" s="32"/>
    </row>
    <row r="64" spans="1:5" s="39" customFormat="1" ht="39.75" hidden="1" customHeight="1" x14ac:dyDescent="0.2">
      <c r="A64" s="41" t="s">
        <v>845</v>
      </c>
      <c r="B64" s="253" t="s">
        <v>1929</v>
      </c>
      <c r="C64" s="254"/>
      <c r="D64" s="254"/>
      <c r="E64" s="255"/>
    </row>
    <row r="65" spans="1:5" s="43" customFormat="1" ht="14.25" hidden="1" customHeight="1" x14ac:dyDescent="0.2">
      <c r="A65" s="267" t="s">
        <v>821</v>
      </c>
      <c r="B65" s="268"/>
      <c r="C65" s="45"/>
      <c r="D65" s="45"/>
      <c r="E65" s="105" t="s">
        <v>1898</v>
      </c>
    </row>
    <row r="66" spans="1:5" ht="14.25" hidden="1" customHeight="1" x14ac:dyDescent="0.2">
      <c r="A66" s="270" t="s">
        <v>1907</v>
      </c>
      <c r="B66" s="284"/>
      <c r="C66" s="88"/>
      <c r="D66" s="88"/>
      <c r="E66" s="105">
        <v>2.2999999999999998</v>
      </c>
    </row>
    <row r="67" spans="1:5" ht="14.25" hidden="1" customHeight="1" x14ac:dyDescent="0.2">
      <c r="A67" s="270" t="s">
        <v>1908</v>
      </c>
      <c r="B67" s="284"/>
      <c r="C67" s="88"/>
      <c r="D67" s="88"/>
      <c r="E67" s="105">
        <f>6.3</f>
        <v>6.3</v>
      </c>
    </row>
    <row r="68" spans="1:5" ht="14.25" hidden="1" customHeight="1" x14ac:dyDescent="0.2">
      <c r="A68" s="103" t="s">
        <v>1909</v>
      </c>
      <c r="B68" s="188"/>
      <c r="C68" s="88"/>
      <c r="D68" s="88"/>
      <c r="E68" s="105">
        <v>6.3</v>
      </c>
    </row>
    <row r="69" spans="1:5" ht="14.25" hidden="1" customHeight="1" x14ac:dyDescent="0.2">
      <c r="A69" s="103" t="s">
        <v>1910</v>
      </c>
      <c r="B69" s="188"/>
      <c r="C69" s="88"/>
      <c r="D69" s="88"/>
      <c r="E69" s="105">
        <v>57.5</v>
      </c>
    </row>
    <row r="70" spans="1:5" ht="14.25" hidden="1" customHeight="1" x14ac:dyDescent="0.2">
      <c r="A70" s="103" t="s">
        <v>1911</v>
      </c>
      <c r="B70" s="188"/>
      <c r="C70" s="88"/>
      <c r="D70" s="88"/>
      <c r="E70" s="105">
        <v>129.30000000000001</v>
      </c>
    </row>
    <row r="71" spans="1:5" ht="14.25" hidden="1" customHeight="1" x14ac:dyDescent="0.2">
      <c r="A71" s="103" t="s">
        <v>1912</v>
      </c>
      <c r="B71" s="188"/>
      <c r="C71" s="88"/>
      <c r="D71" s="88"/>
      <c r="E71" s="105">
        <f>140*3</f>
        <v>420</v>
      </c>
    </row>
    <row r="72" spans="1:5" ht="14.25" hidden="1" customHeight="1" x14ac:dyDescent="0.2">
      <c r="A72" s="103" t="s">
        <v>1913</v>
      </c>
      <c r="B72" s="188"/>
      <c r="C72" s="88"/>
      <c r="D72" s="88"/>
      <c r="E72" s="105">
        <v>271</v>
      </c>
    </row>
    <row r="73" spans="1:5" ht="14.25" hidden="1" customHeight="1" x14ac:dyDescent="0.2">
      <c r="A73" s="103" t="s">
        <v>1901</v>
      </c>
      <c r="B73" s="188"/>
      <c r="C73" s="88"/>
      <c r="D73" s="88"/>
      <c r="E73" s="105">
        <v>163</v>
      </c>
    </row>
    <row r="74" spans="1:5" ht="14.25" hidden="1" customHeight="1" x14ac:dyDescent="0.2">
      <c r="A74" s="103" t="s">
        <v>1902</v>
      </c>
      <c r="B74" s="188"/>
      <c r="C74" s="88"/>
      <c r="D74" s="88"/>
      <c r="E74" s="105">
        <v>59.3</v>
      </c>
    </row>
    <row r="75" spans="1:5" ht="14.25" hidden="1" customHeight="1" x14ac:dyDescent="0.2">
      <c r="A75" s="103" t="s">
        <v>1930</v>
      </c>
      <c r="B75" s="188"/>
      <c r="C75" s="88"/>
      <c r="D75" s="88"/>
      <c r="E75" s="105">
        <v>43</v>
      </c>
    </row>
    <row r="76" spans="1:5" ht="14.25" hidden="1" customHeight="1" x14ac:dyDescent="0.2">
      <c r="A76" s="103" t="s">
        <v>1905</v>
      </c>
      <c r="B76" s="188"/>
      <c r="C76" s="88"/>
      <c r="D76" s="88"/>
      <c r="E76" s="105">
        <v>54</v>
      </c>
    </row>
    <row r="77" spans="1:5" ht="14.25" hidden="1" customHeight="1" x14ac:dyDescent="0.2">
      <c r="A77" s="103" t="s">
        <v>1906</v>
      </c>
      <c r="B77" s="188"/>
      <c r="C77" s="88"/>
      <c r="D77" s="88"/>
      <c r="E77" s="105">
        <v>81</v>
      </c>
    </row>
    <row r="78" spans="1:5" ht="14.25" hidden="1" customHeight="1" x14ac:dyDescent="0.2">
      <c r="A78" s="103" t="s">
        <v>1914</v>
      </c>
      <c r="B78" s="188"/>
      <c r="C78" s="88"/>
      <c r="D78" s="88"/>
      <c r="E78" s="105">
        <v>207</v>
      </c>
    </row>
    <row r="79" spans="1:5" ht="14.25" hidden="1" customHeight="1" x14ac:dyDescent="0.2">
      <c r="A79" s="103" t="s">
        <v>1915</v>
      </c>
      <c r="B79" s="188"/>
      <c r="C79" s="88"/>
      <c r="D79" s="88"/>
      <c r="E79" s="105">
        <f>(210*3)*0.7</f>
        <v>441</v>
      </c>
    </row>
    <row r="80" spans="1:5" ht="14.25" hidden="1" customHeight="1" x14ac:dyDescent="0.2">
      <c r="A80" s="103" t="s">
        <v>1916</v>
      </c>
      <c r="B80" s="188"/>
      <c r="C80" s="88"/>
      <c r="D80" s="88"/>
      <c r="E80" s="105">
        <v>126</v>
      </c>
    </row>
    <row r="81" spans="1:5" ht="14.25" hidden="1" customHeight="1" x14ac:dyDescent="0.2">
      <c r="A81" s="189" t="s">
        <v>1931</v>
      </c>
      <c r="B81" s="190"/>
      <c r="C81" s="88"/>
      <c r="D81" s="88"/>
      <c r="E81" s="105">
        <v>248.29</v>
      </c>
    </row>
    <row r="82" spans="1:5" ht="15" hidden="1" customHeight="1" x14ac:dyDescent="0.2">
      <c r="A82" s="256" t="s">
        <v>1924</v>
      </c>
      <c r="B82" s="256"/>
      <c r="C82" s="256"/>
      <c r="D82" s="228"/>
      <c r="E82" s="46">
        <f>SUM(E66:E81)</f>
        <v>2315.29</v>
      </c>
    </row>
    <row r="83" spans="1:5" ht="15" hidden="1" customHeight="1" x14ac:dyDescent="0.2">
      <c r="A83" s="256" t="s">
        <v>1925</v>
      </c>
      <c r="B83" s="256"/>
      <c r="C83" s="256"/>
      <c r="D83" s="228"/>
      <c r="E83" s="46">
        <v>1392.7</v>
      </c>
    </row>
    <row r="84" spans="1:5" ht="15" hidden="1" customHeight="1" x14ac:dyDescent="0.2">
      <c r="A84" s="256" t="s">
        <v>1926</v>
      </c>
      <c r="B84" s="256"/>
      <c r="C84" s="256"/>
      <c r="D84" s="228"/>
      <c r="E84" s="46">
        <v>1354.88</v>
      </c>
    </row>
    <row r="85" spans="1:5" ht="15" hidden="1" customHeight="1" x14ac:dyDescent="0.2">
      <c r="A85" s="287" t="s">
        <v>1927</v>
      </c>
      <c r="B85" s="287"/>
      <c r="C85" s="287"/>
      <c r="D85" s="288"/>
      <c r="E85" s="60">
        <f>E83-E84</f>
        <v>37.819999999999936</v>
      </c>
    </row>
    <row r="86" spans="1:5" ht="15" hidden="1" customHeight="1" x14ac:dyDescent="0.2">
      <c r="A86" s="290" t="s">
        <v>1928</v>
      </c>
      <c r="B86" s="290"/>
      <c r="C86" s="290"/>
      <c r="D86" s="243"/>
      <c r="E86" s="191">
        <f>E83-E82</f>
        <v>-922.58999999999992</v>
      </c>
    </row>
    <row r="87" spans="1:5" hidden="1" x14ac:dyDescent="0.2">
      <c r="A87" s="30"/>
      <c r="E87" s="32"/>
    </row>
    <row r="88" spans="1:5" s="39" customFormat="1" ht="39.75" hidden="1" customHeight="1" x14ac:dyDescent="0.2">
      <c r="A88" s="192" t="s">
        <v>847</v>
      </c>
      <c r="B88" s="253" t="s">
        <v>103</v>
      </c>
      <c r="C88" s="254"/>
      <c r="D88" s="254"/>
      <c r="E88" s="255"/>
    </row>
    <row r="89" spans="1:5" s="43" customFormat="1" ht="14.25" hidden="1" customHeight="1" x14ac:dyDescent="0.2">
      <c r="A89" s="267" t="s">
        <v>821</v>
      </c>
      <c r="B89" s="268"/>
      <c r="C89" s="45"/>
      <c r="D89" s="45"/>
      <c r="E89" s="105" t="s">
        <v>1898</v>
      </c>
    </row>
    <row r="90" spans="1:5" ht="14.25" hidden="1" customHeight="1" x14ac:dyDescent="0.2">
      <c r="A90" s="283" t="s">
        <v>1917</v>
      </c>
      <c r="B90" s="289"/>
      <c r="C90" s="289"/>
      <c r="D90" s="88"/>
      <c r="E90" s="105">
        <f>154.3+15.43</f>
        <v>169.73000000000002</v>
      </c>
    </row>
    <row r="91" spans="1:5" ht="14.25" hidden="1" customHeight="1" x14ac:dyDescent="0.2">
      <c r="A91" s="270" t="s">
        <v>1918</v>
      </c>
      <c r="B91" s="284"/>
      <c r="C91" s="84"/>
      <c r="D91" s="88"/>
      <c r="E91" s="105">
        <v>49.4</v>
      </c>
    </row>
    <row r="92" spans="1:5" ht="14.25" hidden="1" customHeight="1" x14ac:dyDescent="0.2">
      <c r="A92" s="270" t="s">
        <v>1919</v>
      </c>
      <c r="B92" s="284"/>
      <c r="C92" s="84"/>
      <c r="D92" s="88"/>
      <c r="E92" s="105">
        <v>40.700000000000003</v>
      </c>
    </row>
    <row r="93" spans="1:5" ht="14.25" hidden="1" customHeight="1" x14ac:dyDescent="0.2">
      <c r="A93" s="270" t="s">
        <v>1920</v>
      </c>
      <c r="B93" s="284"/>
      <c r="C93" s="88"/>
      <c r="D93" s="88"/>
      <c r="E93" s="105">
        <f>74</f>
        <v>74</v>
      </c>
    </row>
    <row r="94" spans="1:5" ht="14.25" hidden="1" customHeight="1" x14ac:dyDescent="0.2">
      <c r="A94" s="270" t="s">
        <v>1932</v>
      </c>
      <c r="B94" s="284"/>
      <c r="C94" s="88"/>
      <c r="D94" s="88"/>
      <c r="E94" s="105">
        <f>343.4*0.5</f>
        <v>171.7</v>
      </c>
    </row>
    <row r="95" spans="1:5" ht="14.25" hidden="1" customHeight="1" x14ac:dyDescent="0.2">
      <c r="A95" s="270" t="s">
        <v>1922</v>
      </c>
      <c r="B95" s="284"/>
      <c r="C95" s="88"/>
      <c r="D95" s="88"/>
      <c r="E95" s="105">
        <v>6.2</v>
      </c>
    </row>
    <row r="96" spans="1:5" ht="14.25" hidden="1" customHeight="1" x14ac:dyDescent="0.2">
      <c r="A96" s="189" t="s">
        <v>1933</v>
      </c>
      <c r="B96" s="190"/>
      <c r="C96" s="88"/>
      <c r="D96" s="88"/>
      <c r="E96" s="105">
        <f>39.49+118.48</f>
        <v>157.97</v>
      </c>
    </row>
    <row r="97" spans="1:5" ht="15" hidden="1" customHeight="1" x14ac:dyDescent="0.2">
      <c r="A97" s="256" t="s">
        <v>1924</v>
      </c>
      <c r="B97" s="256"/>
      <c r="C97" s="256"/>
      <c r="D97" s="228"/>
      <c r="E97" s="46">
        <f>SUM(E90:E96)</f>
        <v>669.7</v>
      </c>
    </row>
    <row r="98" spans="1:5" ht="15" hidden="1" customHeight="1" x14ac:dyDescent="0.2">
      <c r="A98" s="256" t="s">
        <v>1925</v>
      </c>
      <c r="B98" s="256"/>
      <c r="C98" s="256"/>
      <c r="D98" s="228"/>
      <c r="E98" s="46">
        <v>665.53</v>
      </c>
    </row>
    <row r="99" spans="1:5" ht="15" hidden="1" customHeight="1" x14ac:dyDescent="0.2">
      <c r="A99" s="256" t="s">
        <v>1926</v>
      </c>
      <c r="B99" s="256"/>
      <c r="C99" s="256"/>
      <c r="D99" s="228"/>
      <c r="E99" s="46">
        <v>350.24</v>
      </c>
    </row>
    <row r="100" spans="1:5" ht="15" hidden="1" customHeight="1" x14ac:dyDescent="0.2">
      <c r="A100" s="287" t="s">
        <v>1927</v>
      </c>
      <c r="B100" s="287"/>
      <c r="C100" s="287"/>
      <c r="D100" s="288"/>
      <c r="E100" s="60">
        <f>E98-E99</f>
        <v>315.28999999999996</v>
      </c>
    </row>
    <row r="101" spans="1:5" ht="15" hidden="1" customHeight="1" x14ac:dyDescent="0.2">
      <c r="A101" s="290" t="s">
        <v>1928</v>
      </c>
      <c r="B101" s="290"/>
      <c r="C101" s="290"/>
      <c r="D101" s="243"/>
      <c r="E101" s="191">
        <f>E98-E97</f>
        <v>-4.1700000000000728</v>
      </c>
    </row>
    <row r="102" spans="1:5" hidden="1" x14ac:dyDescent="0.2">
      <c r="A102" s="30"/>
      <c r="E102" s="32"/>
    </row>
    <row r="103" spans="1:5" s="39" customFormat="1" ht="39.75" customHeight="1" x14ac:dyDescent="0.2">
      <c r="A103" s="41" t="s">
        <v>1044</v>
      </c>
      <c r="B103" s="235" t="s">
        <v>147</v>
      </c>
      <c r="C103" s="235"/>
      <c r="D103" s="235"/>
      <c r="E103" s="235"/>
    </row>
    <row r="104" spans="1:5" s="43" customFormat="1" ht="14.25" customHeight="1" x14ac:dyDescent="0.2">
      <c r="A104" s="267" t="s">
        <v>821</v>
      </c>
      <c r="B104" s="268"/>
      <c r="C104" s="45"/>
      <c r="D104" s="45"/>
      <c r="E104" s="105" t="s">
        <v>991</v>
      </c>
    </row>
    <row r="105" spans="1:5" ht="14.25" customHeight="1" x14ac:dyDescent="0.2">
      <c r="A105" s="270" t="s">
        <v>1934</v>
      </c>
      <c r="B105" s="284"/>
      <c r="C105" s="88"/>
      <c r="D105" s="88"/>
      <c r="E105" s="105">
        <v>942.37</v>
      </c>
    </row>
    <row r="106" spans="1:5" ht="15" customHeight="1" x14ac:dyDescent="0.2">
      <c r="A106" s="256" t="s">
        <v>1935</v>
      </c>
      <c r="B106" s="256"/>
      <c r="C106" s="256"/>
      <c r="D106" s="228"/>
      <c r="E106" s="46">
        <f>SUM(E105:E105)</f>
        <v>942.37</v>
      </c>
    </row>
    <row r="107" spans="1:5" ht="15" customHeight="1" x14ac:dyDescent="0.2">
      <c r="A107" s="256" t="s">
        <v>1936</v>
      </c>
      <c r="B107" s="256"/>
      <c r="C107" s="256"/>
      <c r="D107" s="228"/>
      <c r="E107" s="46">
        <v>942.37</v>
      </c>
    </row>
    <row r="108" spans="1:5" ht="15" customHeight="1" x14ac:dyDescent="0.2">
      <c r="A108" s="256" t="s">
        <v>1937</v>
      </c>
      <c r="B108" s="256"/>
      <c r="C108" s="256"/>
      <c r="D108" s="228"/>
      <c r="E108" s="46">
        <v>753.89</v>
      </c>
    </row>
    <row r="109" spans="1:5" ht="15" customHeight="1" x14ac:dyDescent="0.2">
      <c r="A109" s="287" t="s">
        <v>1938</v>
      </c>
      <c r="B109" s="287"/>
      <c r="C109" s="287"/>
      <c r="D109" s="288"/>
      <c r="E109" s="60">
        <f>E106-E108</f>
        <v>188.48000000000002</v>
      </c>
    </row>
    <row r="110" spans="1:5" x14ac:dyDescent="0.2">
      <c r="A110" s="30"/>
      <c r="E110" s="32"/>
    </row>
    <row r="111" spans="1:5" s="39" customFormat="1" ht="23.25" customHeight="1" x14ac:dyDescent="0.2">
      <c r="A111" s="41" t="s">
        <v>1939</v>
      </c>
      <c r="B111" s="235" t="s">
        <v>149</v>
      </c>
      <c r="C111" s="235"/>
      <c r="D111" s="235"/>
      <c r="E111" s="235"/>
    </row>
    <row r="112" spans="1:5" s="43" customFormat="1" ht="14.25" customHeight="1" x14ac:dyDescent="0.2">
      <c r="A112" s="267" t="s">
        <v>821</v>
      </c>
      <c r="B112" s="268"/>
      <c r="C112" s="45"/>
      <c r="D112" s="45"/>
      <c r="E112" s="105" t="s">
        <v>991</v>
      </c>
    </row>
    <row r="113" spans="1:5" ht="14.25" customHeight="1" x14ac:dyDescent="0.2">
      <c r="A113" s="270" t="s">
        <v>1940</v>
      </c>
      <c r="B113" s="284"/>
      <c r="C113" s="88"/>
      <c r="D113" s="88"/>
      <c r="E113" s="105">
        <v>310</v>
      </c>
    </row>
    <row r="114" spans="1:5" ht="15" customHeight="1" x14ac:dyDescent="0.2">
      <c r="A114" s="256" t="s">
        <v>1941</v>
      </c>
      <c r="B114" s="256"/>
      <c r="C114" s="256"/>
      <c r="D114" s="228"/>
      <c r="E114" s="46">
        <f>E113</f>
        <v>310</v>
      </c>
    </row>
    <row r="115" spans="1:5" ht="15" customHeight="1" x14ac:dyDescent="0.2">
      <c r="A115" s="256" t="s">
        <v>1942</v>
      </c>
      <c r="B115" s="256"/>
      <c r="C115" s="256"/>
      <c r="D115" s="228"/>
      <c r="E115" s="46">
        <v>844.5</v>
      </c>
    </row>
    <row r="116" spans="1:5" ht="15" customHeight="1" x14ac:dyDescent="0.2">
      <c r="A116" s="256" t="s">
        <v>1943</v>
      </c>
      <c r="B116" s="256"/>
      <c r="C116" s="256"/>
      <c r="D116" s="228"/>
      <c r="E116" s="46">
        <v>0</v>
      </c>
    </row>
    <row r="117" spans="1:5" ht="15" customHeight="1" x14ac:dyDescent="0.2">
      <c r="A117" s="287" t="s">
        <v>1944</v>
      </c>
      <c r="B117" s="287"/>
      <c r="C117" s="287"/>
      <c r="D117" s="288"/>
      <c r="E117" s="60">
        <f>E114-E116</f>
        <v>310</v>
      </c>
    </row>
    <row r="118" spans="1:5" x14ac:dyDescent="0.2">
      <c r="A118" s="61"/>
      <c r="B118" s="42"/>
      <c r="C118" s="42"/>
      <c r="D118" s="42"/>
      <c r="E118" s="62"/>
    </row>
  </sheetData>
  <mergeCells count="70">
    <mergeCell ref="A114:D114"/>
    <mergeCell ref="A115:D115"/>
    <mergeCell ref="A116:D116"/>
    <mergeCell ref="A117:D117"/>
    <mergeCell ref="A107:D107"/>
    <mergeCell ref="A108:D108"/>
    <mergeCell ref="A109:D109"/>
    <mergeCell ref="B111:E111"/>
    <mergeCell ref="A112:B112"/>
    <mergeCell ref="A113:B113"/>
    <mergeCell ref="A106:D106"/>
    <mergeCell ref="A93:B93"/>
    <mergeCell ref="A94:B94"/>
    <mergeCell ref="A95:B95"/>
    <mergeCell ref="A97:D97"/>
    <mergeCell ref="A98:D98"/>
    <mergeCell ref="A99:D99"/>
    <mergeCell ref="A100:D100"/>
    <mergeCell ref="A101:D101"/>
    <mergeCell ref="B103:E103"/>
    <mergeCell ref="A104:B104"/>
    <mergeCell ref="A105:B105"/>
    <mergeCell ref="A92:B92"/>
    <mergeCell ref="A66:B66"/>
    <mergeCell ref="A67:B67"/>
    <mergeCell ref="A82:D82"/>
    <mergeCell ref="A83:D83"/>
    <mergeCell ref="A84:D84"/>
    <mergeCell ref="A85:D85"/>
    <mergeCell ref="A86:D86"/>
    <mergeCell ref="B88:E88"/>
    <mergeCell ref="A89:B89"/>
    <mergeCell ref="A90:C90"/>
    <mergeCell ref="A91:B91"/>
    <mergeCell ref="A65:B65"/>
    <mergeCell ref="A51:D51"/>
    <mergeCell ref="B53:E53"/>
    <mergeCell ref="A54:B54"/>
    <mergeCell ref="A55:B55"/>
    <mergeCell ref="A56:B56"/>
    <mergeCell ref="A58:B58"/>
    <mergeCell ref="A59:D59"/>
    <mergeCell ref="A60:D60"/>
    <mergeCell ref="A61:D61"/>
    <mergeCell ref="A62:D62"/>
    <mergeCell ref="B64:E64"/>
    <mergeCell ref="A50:D50"/>
    <mergeCell ref="A27:B27"/>
    <mergeCell ref="A30:B30"/>
    <mergeCell ref="A31:B31"/>
    <mergeCell ref="A40:C40"/>
    <mergeCell ref="A41:B41"/>
    <mergeCell ref="A42:B42"/>
    <mergeCell ref="A43:B43"/>
    <mergeCell ref="A45:B45"/>
    <mergeCell ref="A47:D47"/>
    <mergeCell ref="A48:D48"/>
    <mergeCell ref="A49:D49"/>
    <mergeCell ref="A22:B22"/>
    <mergeCell ref="A10:E10"/>
    <mergeCell ref="B12:E12"/>
    <mergeCell ref="B13:E13"/>
    <mergeCell ref="A14:D14"/>
    <mergeCell ref="A15:B15"/>
    <mergeCell ref="A16:D16"/>
    <mergeCell ref="A17:D17"/>
    <mergeCell ref="A18:D18"/>
    <mergeCell ref="A19:B19"/>
    <mergeCell ref="B20:E20"/>
    <mergeCell ref="A21:B21"/>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3C99-3A20-4970-805B-0E50085FB0D0}">
  <sheetPr>
    <tabColor theme="9" tint="-0.499984740745262"/>
  </sheetPr>
  <dimension ref="A1:E28"/>
  <sheetViews>
    <sheetView view="pageBreakPreview" topLeftCell="A5" zoomScale="90" zoomScaleNormal="95" zoomScaleSheetLayoutView="90" workbookViewId="0">
      <selection activeCell="F5" sqref="F1:F1048576"/>
    </sheetView>
  </sheetViews>
  <sheetFormatPr defaultColWidth="9" defaultRowHeight="12.75" x14ac:dyDescent="0.2"/>
  <cols>
    <col min="1" max="1" width="14.625" style="31" customWidth="1"/>
    <col min="2" max="2" width="16.625" style="31" customWidth="1"/>
    <col min="3" max="3" width="19" style="31" customWidth="1"/>
    <col min="4" max="4" width="17.5" style="31" customWidth="1"/>
    <col min="5" max="5" width="12.625" style="38" customWidth="1"/>
    <col min="6" max="16384" width="9" style="29"/>
  </cols>
  <sheetData>
    <row r="1" spans="1:5" hidden="1" x14ac:dyDescent="0.2">
      <c r="A1" s="30"/>
      <c r="E1" s="32"/>
    </row>
    <row r="2" spans="1:5" x14ac:dyDescent="0.2">
      <c r="A2" s="30"/>
      <c r="E2" s="32"/>
    </row>
    <row r="3" spans="1:5" x14ac:dyDescent="0.2">
      <c r="A3" s="34"/>
      <c r="B3" s="34"/>
      <c r="C3" s="35"/>
      <c r="D3" s="35"/>
      <c r="E3" s="54"/>
    </row>
    <row r="4" spans="1:5" x14ac:dyDescent="0.2">
      <c r="A4" s="34" t="s">
        <v>820</v>
      </c>
      <c r="B4" s="34"/>
      <c r="C4" s="35"/>
      <c r="D4" s="35"/>
      <c r="E4" s="54"/>
    </row>
    <row r="5" spans="1:5" x14ac:dyDescent="0.2">
      <c r="A5" s="34" t="s">
        <v>2</v>
      </c>
      <c r="B5" s="34"/>
      <c r="C5" s="35"/>
      <c r="D5" s="35"/>
      <c r="E5" s="54"/>
    </row>
    <row r="6" spans="1:5" x14ac:dyDescent="0.2">
      <c r="A6" s="34" t="s">
        <v>1348</v>
      </c>
      <c r="B6" s="34"/>
      <c r="C6" s="35"/>
      <c r="D6" s="35"/>
      <c r="E6" s="35"/>
    </row>
    <row r="7" spans="1:5" ht="13.5" thickBot="1" x14ac:dyDescent="0.25">
      <c r="A7" s="34"/>
      <c r="B7" s="34"/>
      <c r="C7" s="35"/>
      <c r="D7" s="35"/>
      <c r="E7" s="54"/>
    </row>
    <row r="8" spans="1:5" s="39" customFormat="1" ht="21" customHeight="1" thickBot="1" x14ac:dyDescent="0.25">
      <c r="A8" s="250" t="s">
        <v>1352</v>
      </c>
      <c r="B8" s="251"/>
      <c r="C8" s="251"/>
      <c r="D8" s="251"/>
      <c r="E8" s="252"/>
    </row>
    <row r="9" spans="1:5" x14ac:dyDescent="0.2">
      <c r="A9" s="30"/>
      <c r="E9" s="32"/>
    </row>
    <row r="10" spans="1:5" ht="17.25" customHeight="1" x14ac:dyDescent="0.2">
      <c r="A10" s="40" t="s">
        <v>1013</v>
      </c>
      <c r="B10" s="234" t="s">
        <v>153</v>
      </c>
      <c r="C10" s="234"/>
      <c r="D10" s="234"/>
      <c r="E10" s="234"/>
    </row>
    <row r="11" spans="1:5" ht="17.25" customHeight="1" x14ac:dyDescent="0.2">
      <c r="A11" s="128" t="s">
        <v>1014</v>
      </c>
      <c r="B11" s="293" t="s">
        <v>155</v>
      </c>
      <c r="C11" s="293"/>
      <c r="D11" s="293"/>
      <c r="E11" s="293"/>
    </row>
    <row r="12" spans="1:5" s="39" customFormat="1" ht="25.5" customHeight="1" x14ac:dyDescent="0.2">
      <c r="A12" s="41" t="s">
        <v>1015</v>
      </c>
      <c r="B12" s="235" t="s">
        <v>171</v>
      </c>
      <c r="C12" s="235"/>
      <c r="D12" s="235"/>
      <c r="E12" s="235"/>
    </row>
    <row r="13" spans="1:5" ht="12.75" customHeight="1" x14ac:dyDescent="0.2">
      <c r="A13" s="294" t="s">
        <v>1387</v>
      </c>
      <c r="B13" s="295"/>
      <c r="C13" s="295"/>
      <c r="D13" s="295"/>
      <c r="E13" s="129">
        <v>59.58</v>
      </c>
    </row>
    <row r="14" spans="1:5" ht="12.75" customHeight="1" x14ac:dyDescent="0.2">
      <c r="A14" s="248"/>
      <c r="B14" s="249"/>
      <c r="C14" s="249"/>
      <c r="D14" s="249"/>
      <c r="E14" s="130"/>
    </row>
    <row r="15" spans="1:5" ht="14.25" customHeight="1" x14ac:dyDescent="0.2">
      <c r="A15" s="228" t="s">
        <v>1388</v>
      </c>
      <c r="B15" s="229"/>
      <c r="C15" s="229"/>
      <c r="D15" s="229"/>
      <c r="E15" s="58">
        <f>SUM(E13:E14)</f>
        <v>59.58</v>
      </c>
    </row>
    <row r="16" spans="1:5" ht="14.25" customHeight="1" x14ac:dyDescent="0.2">
      <c r="A16" s="228" t="s">
        <v>1389</v>
      </c>
      <c r="B16" s="229"/>
      <c r="C16" s="229"/>
      <c r="D16" s="229"/>
      <c r="E16" s="58">
        <v>59.58</v>
      </c>
    </row>
    <row r="17" spans="1:5" ht="14.25" customHeight="1" x14ac:dyDescent="0.2">
      <c r="A17" s="228" t="s">
        <v>1390</v>
      </c>
      <c r="B17" s="229"/>
      <c r="C17" s="229"/>
      <c r="D17" s="229"/>
      <c r="E17" s="58">
        <v>20</v>
      </c>
    </row>
    <row r="18" spans="1:5" ht="14.25" customHeight="1" x14ac:dyDescent="0.2">
      <c r="A18" s="241" t="s">
        <v>1391</v>
      </c>
      <c r="B18" s="242"/>
      <c r="C18" s="242"/>
      <c r="D18" s="242"/>
      <c r="E18" s="59">
        <f>E15-E17</f>
        <v>39.58</v>
      </c>
    </row>
    <row r="19" spans="1:5" x14ac:dyDescent="0.2">
      <c r="A19" s="75"/>
      <c r="B19" s="76"/>
      <c r="C19" s="76"/>
      <c r="D19" s="76"/>
      <c r="E19" s="77"/>
    </row>
    <row r="20" spans="1:5" ht="17.25" customHeight="1" x14ac:dyDescent="0.2">
      <c r="A20" s="128" t="s">
        <v>1047</v>
      </c>
      <c r="B20" s="293" t="s">
        <v>174</v>
      </c>
      <c r="C20" s="293"/>
      <c r="D20" s="293"/>
      <c r="E20" s="293"/>
    </row>
    <row r="21" spans="1:5" s="39" customFormat="1" ht="21" customHeight="1" x14ac:dyDescent="0.2">
      <c r="A21" s="41" t="s">
        <v>1293</v>
      </c>
      <c r="B21" s="235" t="s">
        <v>176</v>
      </c>
      <c r="C21" s="235"/>
      <c r="D21" s="235"/>
      <c r="E21" s="235"/>
    </row>
    <row r="22" spans="1:5" ht="12.75" customHeight="1" x14ac:dyDescent="0.2">
      <c r="A22" s="294" t="s">
        <v>1296</v>
      </c>
      <c r="B22" s="295"/>
      <c r="C22" s="295"/>
      <c r="D22" s="295"/>
      <c r="E22" s="129">
        <v>1284</v>
      </c>
    </row>
    <row r="23" spans="1:5" ht="12.75" customHeight="1" x14ac:dyDescent="0.2">
      <c r="A23" s="248"/>
      <c r="B23" s="249"/>
      <c r="C23" s="249"/>
      <c r="D23" s="249"/>
      <c r="E23" s="130"/>
    </row>
    <row r="24" spans="1:5" ht="14.25" customHeight="1" x14ac:dyDescent="0.2">
      <c r="A24" s="228" t="s">
        <v>1294</v>
      </c>
      <c r="B24" s="229"/>
      <c r="C24" s="229"/>
      <c r="D24" s="229"/>
      <c r="E24" s="58">
        <f>E22</f>
        <v>1284</v>
      </c>
    </row>
    <row r="25" spans="1:5" ht="14.25" customHeight="1" x14ac:dyDescent="0.2">
      <c r="A25" s="228" t="s">
        <v>1295</v>
      </c>
      <c r="B25" s="229"/>
      <c r="C25" s="229"/>
      <c r="D25" s="229"/>
      <c r="E25" s="58">
        <v>2283.16</v>
      </c>
    </row>
    <row r="26" spans="1:5" ht="14.25" customHeight="1" x14ac:dyDescent="0.2">
      <c r="A26" s="228" t="s">
        <v>1392</v>
      </c>
      <c r="B26" s="229"/>
      <c r="C26" s="229"/>
      <c r="D26" s="229"/>
      <c r="E26" s="58">
        <v>550</v>
      </c>
    </row>
    <row r="27" spans="1:5" ht="14.25" customHeight="1" x14ac:dyDescent="0.2">
      <c r="A27" s="291" t="s">
        <v>1393</v>
      </c>
      <c r="B27" s="292"/>
      <c r="C27" s="292"/>
      <c r="D27" s="292"/>
      <c r="E27" s="171">
        <f>E24-E26</f>
        <v>734</v>
      </c>
    </row>
    <row r="28" spans="1:5" x14ac:dyDescent="0.2">
      <c r="A28" s="61"/>
      <c r="B28" s="42"/>
      <c r="C28" s="42"/>
      <c r="D28" s="42"/>
      <c r="E28" s="62"/>
    </row>
  </sheetData>
  <mergeCells count="18">
    <mergeCell ref="A15:D15"/>
    <mergeCell ref="A16:D16"/>
    <mergeCell ref="A18:D18"/>
    <mergeCell ref="A8:E8"/>
    <mergeCell ref="B10:E10"/>
    <mergeCell ref="B11:E11"/>
    <mergeCell ref="B12:E12"/>
    <mergeCell ref="A13:D13"/>
    <mergeCell ref="A14:D14"/>
    <mergeCell ref="A17:D17"/>
    <mergeCell ref="A26:D26"/>
    <mergeCell ref="A27:D27"/>
    <mergeCell ref="B20:E20"/>
    <mergeCell ref="A22:D22"/>
    <mergeCell ref="A23:D23"/>
    <mergeCell ref="B21:E21"/>
    <mergeCell ref="A24:D24"/>
    <mergeCell ref="A25:D25"/>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2781-BBEA-4EFE-AC4B-31DEBB5AA14C}">
  <sheetPr>
    <tabColor theme="9" tint="-0.499984740745262"/>
  </sheetPr>
  <dimension ref="A1:E69"/>
  <sheetViews>
    <sheetView view="pageBreakPreview" topLeftCell="A52" zoomScale="90" zoomScaleNormal="95" zoomScaleSheetLayoutView="90" workbookViewId="0">
      <selection activeCell="F52" sqref="F1:F1048576"/>
    </sheetView>
  </sheetViews>
  <sheetFormatPr defaultColWidth="9" defaultRowHeight="12.75" x14ac:dyDescent="0.2"/>
  <cols>
    <col min="1" max="1" width="17.125" style="31" customWidth="1"/>
    <col min="2" max="2" width="19.125" style="31" customWidth="1"/>
    <col min="3" max="3" width="16.625" style="31" customWidth="1"/>
    <col min="4" max="4" width="16"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4" t="s">
        <v>1348</v>
      </c>
      <c r="B4" s="34"/>
      <c r="C4" s="35"/>
      <c r="D4" s="35"/>
      <c r="E4" s="35"/>
    </row>
    <row r="5" spans="1:5" ht="13.5" thickBot="1" x14ac:dyDescent="0.25">
      <c r="A5" s="33"/>
      <c r="B5" s="34"/>
      <c r="C5" s="35"/>
      <c r="D5" s="35"/>
      <c r="E5" s="36"/>
    </row>
    <row r="6" spans="1:5" s="39" customFormat="1" ht="21" customHeight="1" thickBot="1" x14ac:dyDescent="0.25">
      <c r="A6" s="250" t="s">
        <v>1352</v>
      </c>
      <c r="B6" s="251"/>
      <c r="C6" s="251"/>
      <c r="D6" s="251"/>
      <c r="E6" s="252"/>
    </row>
    <row r="7" spans="1:5" x14ac:dyDescent="0.2">
      <c r="A7" s="30"/>
      <c r="E7" s="32"/>
    </row>
    <row r="8" spans="1:5" ht="17.25" customHeight="1" x14ac:dyDescent="0.2">
      <c r="A8" s="40" t="s">
        <v>871</v>
      </c>
      <c r="B8" s="234" t="s">
        <v>182</v>
      </c>
      <c r="C8" s="234"/>
      <c r="D8" s="234"/>
      <c r="E8" s="234"/>
    </row>
    <row r="9" spans="1:5" ht="17.25" customHeight="1" x14ac:dyDescent="0.2">
      <c r="A9" s="40" t="s">
        <v>872</v>
      </c>
      <c r="B9" s="234" t="s">
        <v>184</v>
      </c>
      <c r="C9" s="234"/>
      <c r="D9" s="234"/>
      <c r="E9" s="234"/>
    </row>
    <row r="10" spans="1:5" s="39" customFormat="1" ht="26.25" hidden="1" customHeight="1" x14ac:dyDescent="0.2">
      <c r="A10" s="41" t="s">
        <v>1146</v>
      </c>
      <c r="B10" s="235" t="s">
        <v>192</v>
      </c>
      <c r="C10" s="235"/>
      <c r="D10" s="235"/>
      <c r="E10" s="235"/>
    </row>
    <row r="11" spans="1:5" s="49" customFormat="1" ht="16.5" hidden="1" customHeight="1" x14ac:dyDescent="0.2">
      <c r="A11" s="296"/>
      <c r="B11" s="297"/>
      <c r="C11" s="300"/>
      <c r="D11" s="300"/>
      <c r="E11" s="100" t="s">
        <v>991</v>
      </c>
    </row>
    <row r="12" spans="1:5" s="49" customFormat="1" ht="16.5" hidden="1" customHeight="1" x14ac:dyDescent="0.2">
      <c r="A12" s="296" t="s">
        <v>1147</v>
      </c>
      <c r="B12" s="297"/>
      <c r="C12" s="297"/>
      <c r="D12" s="297"/>
      <c r="E12" s="69">
        <v>1300</v>
      </c>
    </row>
    <row r="13" spans="1:5" s="49" customFormat="1" ht="16.5" hidden="1" customHeight="1" x14ac:dyDescent="0.2">
      <c r="A13" s="73"/>
      <c r="B13" s="84"/>
      <c r="C13" s="301"/>
      <c r="D13" s="301"/>
      <c r="E13" s="69"/>
    </row>
    <row r="14" spans="1:5" s="49" customFormat="1" ht="16.5" hidden="1" customHeight="1" x14ac:dyDescent="0.2">
      <c r="A14" s="237" t="s">
        <v>1398</v>
      </c>
      <c r="B14" s="238"/>
      <c r="C14" s="238"/>
      <c r="D14" s="238"/>
      <c r="E14" s="69">
        <f>SUM(E12:E13)</f>
        <v>1300</v>
      </c>
    </row>
    <row r="15" spans="1:5" s="49" customFormat="1" ht="16.5" hidden="1" customHeight="1" x14ac:dyDescent="0.2">
      <c r="A15" s="237" t="s">
        <v>1148</v>
      </c>
      <c r="B15" s="238"/>
      <c r="C15" s="238"/>
      <c r="D15" s="238"/>
      <c r="E15" s="69">
        <v>1986.29</v>
      </c>
    </row>
    <row r="16" spans="1:5" s="49" customFormat="1" ht="16.5" hidden="1" customHeight="1" x14ac:dyDescent="0.2">
      <c r="A16" s="237" t="s">
        <v>1399</v>
      </c>
      <c r="B16" s="238"/>
      <c r="C16" s="238"/>
      <c r="D16" s="238"/>
      <c r="E16" s="69">
        <v>950</v>
      </c>
    </row>
    <row r="17" spans="1:5" s="39" customFormat="1" ht="14.25" hidden="1" customHeight="1" x14ac:dyDescent="0.2">
      <c r="A17" s="239" t="s">
        <v>1400</v>
      </c>
      <c r="B17" s="240"/>
      <c r="C17" s="240"/>
      <c r="D17" s="240"/>
      <c r="E17" s="89">
        <f>E14-E16</f>
        <v>350</v>
      </c>
    </row>
    <row r="18" spans="1:5" ht="14.25" hidden="1" customHeight="1" x14ac:dyDescent="0.2">
      <c r="A18" s="285"/>
      <c r="B18" s="286"/>
      <c r="C18" s="48"/>
      <c r="D18" s="48"/>
      <c r="E18" s="58"/>
    </row>
    <row r="19" spans="1:5" s="39" customFormat="1" ht="52.5" customHeight="1" x14ac:dyDescent="0.2">
      <c r="A19" s="41" t="s">
        <v>1298</v>
      </c>
      <c r="B19" s="235" t="s">
        <v>1220</v>
      </c>
      <c r="C19" s="235"/>
      <c r="D19" s="235"/>
      <c r="E19" s="235"/>
    </row>
    <row r="20" spans="1:5" s="49" customFormat="1" ht="16.5" customHeight="1" x14ac:dyDescent="0.2">
      <c r="A20" s="296" t="s">
        <v>821</v>
      </c>
      <c r="B20" s="297"/>
      <c r="C20" s="300" t="s">
        <v>822</v>
      </c>
      <c r="D20" s="300"/>
      <c r="E20" s="100" t="s">
        <v>898</v>
      </c>
    </row>
    <row r="21" spans="1:5" s="49" customFormat="1" ht="16.5" customHeight="1" x14ac:dyDescent="0.2">
      <c r="A21" s="113" t="s">
        <v>1081</v>
      </c>
      <c r="B21" s="74"/>
      <c r="C21" s="301">
        <f>16.97+15.76+16.24+29.22+26.76+27.55+14+4.13+13.83+19.6+1.44+1.11+24.79+21.87+4.19+30.82+6.39+7.05+11.96+19.24+19.24+19.24+12.63+31.78+30.47+23.11+40.46+62.77+62.77+62.77+5.24+6.76+16.15+18.88+0.96+24.56+23.61+23.06+10.91+3.76+6.78</f>
        <v>818.82999999999993</v>
      </c>
      <c r="D21" s="301"/>
      <c r="E21" s="69">
        <f>C21</f>
        <v>818.82999999999993</v>
      </c>
    </row>
    <row r="22" spans="1:5" s="49" customFormat="1" ht="16.5" customHeight="1" x14ac:dyDescent="0.2">
      <c r="A22" s="237" t="s">
        <v>1401</v>
      </c>
      <c r="B22" s="238"/>
      <c r="C22" s="238"/>
      <c r="D22" s="238"/>
      <c r="E22" s="69">
        <f>SUM(E21:E21)</f>
        <v>818.82999999999993</v>
      </c>
    </row>
    <row r="23" spans="1:5" s="49" customFormat="1" ht="16.5" customHeight="1" x14ac:dyDescent="0.2">
      <c r="A23" s="237" t="s">
        <v>1299</v>
      </c>
      <c r="B23" s="238"/>
      <c r="C23" s="238"/>
      <c r="D23" s="238"/>
      <c r="E23" s="69">
        <v>818.83</v>
      </c>
    </row>
    <row r="24" spans="1:5" s="49" customFormat="1" ht="16.5" customHeight="1" x14ac:dyDescent="0.2">
      <c r="A24" s="237" t="s">
        <v>1402</v>
      </c>
      <c r="B24" s="238"/>
      <c r="C24" s="238"/>
      <c r="D24" s="238"/>
      <c r="E24" s="69">
        <v>0</v>
      </c>
    </row>
    <row r="25" spans="1:5" s="39" customFormat="1" ht="14.25" customHeight="1" x14ac:dyDescent="0.2">
      <c r="A25" s="239" t="s">
        <v>1403</v>
      </c>
      <c r="B25" s="240"/>
      <c r="C25" s="240"/>
      <c r="D25" s="240"/>
      <c r="E25" s="89">
        <f>E22-E24</f>
        <v>818.82999999999993</v>
      </c>
    </row>
    <row r="26" spans="1:5" ht="14.25" customHeight="1" x14ac:dyDescent="0.2">
      <c r="A26" s="285"/>
      <c r="B26" s="286"/>
      <c r="C26" s="48"/>
      <c r="D26" s="48"/>
      <c r="E26" s="58"/>
    </row>
    <row r="27" spans="1:5" ht="17.25" customHeight="1" x14ac:dyDescent="0.2">
      <c r="A27" s="40" t="s">
        <v>913</v>
      </c>
      <c r="B27" s="234" t="s">
        <v>194</v>
      </c>
      <c r="C27" s="234"/>
      <c r="D27" s="234"/>
      <c r="E27" s="234"/>
    </row>
    <row r="28" spans="1:5" s="39" customFormat="1" ht="42.75" customHeight="1" x14ac:dyDescent="0.2">
      <c r="A28" s="41" t="s">
        <v>914</v>
      </c>
      <c r="B28" s="235" t="s">
        <v>196</v>
      </c>
      <c r="C28" s="235"/>
      <c r="D28" s="235"/>
      <c r="E28" s="235"/>
    </row>
    <row r="29" spans="1:5" s="49" customFormat="1" ht="16.5" customHeight="1" x14ac:dyDescent="0.2">
      <c r="A29" s="296" t="s">
        <v>821</v>
      </c>
      <c r="B29" s="297"/>
      <c r="C29" s="74"/>
      <c r="D29" s="74" t="s">
        <v>977</v>
      </c>
      <c r="E29" s="69" t="s">
        <v>880</v>
      </c>
    </row>
    <row r="30" spans="1:5" s="49" customFormat="1" ht="16.5" customHeight="1" x14ac:dyDescent="0.2">
      <c r="A30" s="73" t="s">
        <v>981</v>
      </c>
      <c r="B30" s="70"/>
      <c r="C30" s="70"/>
      <c r="D30" s="83">
        <f>(12.59+23.72+5.37+17.66+35.13+17.79+27.65+6.57+25.36+9.25+26.15+7.28)*1.3</f>
        <v>278.87599999999998</v>
      </c>
      <c r="E30" s="69">
        <f>D30</f>
        <v>278.87599999999998</v>
      </c>
    </row>
    <row r="31" spans="1:5" s="49" customFormat="1" ht="16.5" customHeight="1" x14ac:dyDescent="0.2">
      <c r="A31" s="99" t="s">
        <v>982</v>
      </c>
      <c r="B31" s="70"/>
      <c r="C31" s="70"/>
      <c r="D31" s="83">
        <f>(24.3*1.2*2)+(24.3*0.15)</f>
        <v>61.965000000000003</v>
      </c>
      <c r="E31" s="69">
        <f>D31</f>
        <v>61.965000000000003</v>
      </c>
    </row>
    <row r="32" spans="1:5" s="49" customFormat="1" ht="29.25" customHeight="1" x14ac:dyDescent="0.2">
      <c r="A32" s="73" t="s">
        <v>983</v>
      </c>
      <c r="B32" s="70"/>
      <c r="C32" s="70"/>
      <c r="D32" s="101">
        <f>((8.35+20.35+4.19+5.37+13.75+6.48+1.35+6.86+0.9+21.69+16.34)*3.2)+(22.91*0.7)+((6.24+4.37)*0.6)+(20.24*0.7)</f>
        <v>374.58700000000005</v>
      </c>
      <c r="E32" s="69">
        <f>D32</f>
        <v>374.58700000000005</v>
      </c>
    </row>
    <row r="33" spans="1:5" s="49" customFormat="1" ht="15.75" customHeight="1" x14ac:dyDescent="0.2">
      <c r="A33" s="102" t="s">
        <v>984</v>
      </c>
      <c r="B33" s="70"/>
      <c r="C33" s="70"/>
      <c r="D33" s="83">
        <f>((1.73+8.35+1.82+1.3+3.37+1.3+13.74+1.85)*2.4)+(33.46*0.15)</f>
        <v>85.323000000000008</v>
      </c>
      <c r="E33" s="69">
        <f t="shared" ref="E33:E46" si="0">D33</f>
        <v>85.323000000000008</v>
      </c>
    </row>
    <row r="34" spans="1:5" s="49" customFormat="1" ht="15.75" customHeight="1" x14ac:dyDescent="0.2">
      <c r="A34" s="102" t="s">
        <v>985</v>
      </c>
      <c r="B34" s="70"/>
      <c r="C34" s="70"/>
      <c r="D34" s="83">
        <f>((8.2+18.61+2.88+3.37+5.56+13.74+4.63+1.35+6.86+0.9+21.71+16.34)*3.9)+(27.66*0.6)+(21.76*0.6)+((1.89+1.89+1.79+1.79)*1.25)</f>
        <v>445.03699999999998</v>
      </c>
      <c r="E34" s="69">
        <f t="shared" si="0"/>
        <v>445.03699999999998</v>
      </c>
    </row>
    <row r="35" spans="1:5" s="49" customFormat="1" ht="15.75" customHeight="1" x14ac:dyDescent="0.2">
      <c r="A35" s="102" t="s">
        <v>986</v>
      </c>
      <c r="B35" s="70"/>
      <c r="C35" s="70"/>
      <c r="D35" s="83">
        <f>((8.49+2.5+2.5+2.88+3.37+5.56+13.75+2.55)*2.4)+(41.6*0.15)</f>
        <v>106.07999999999998</v>
      </c>
      <c r="E35" s="69">
        <f t="shared" si="0"/>
        <v>106.07999999999998</v>
      </c>
    </row>
    <row r="36" spans="1:5" s="49" customFormat="1" ht="16.5" customHeight="1" x14ac:dyDescent="0.2">
      <c r="A36" s="102" t="s">
        <v>987</v>
      </c>
      <c r="B36" s="70"/>
      <c r="C36" s="70"/>
      <c r="D36" s="83">
        <f>((8.49+16.21+5.23+17.01+2.22+0.15+28.25+0.75+13.78+0.9)*3.2)+(27.66*0.6)+(19.42*0.6)</f>
        <v>325.81600000000003</v>
      </c>
      <c r="E36" s="69">
        <f t="shared" si="0"/>
        <v>325.81600000000003</v>
      </c>
    </row>
    <row r="37" spans="1:5" s="49" customFormat="1" ht="16.5" customHeight="1" x14ac:dyDescent="0.2">
      <c r="A37" s="102" t="s">
        <v>1042</v>
      </c>
      <c r="B37" s="70"/>
      <c r="C37" s="70"/>
      <c r="D37" s="83">
        <f>((8.49+16.21+5.23+17.01+2.22+0.15+28.25+0.75+13.78+0.9)*3.2)+(27.66*0.6)+(19.42*0.6)</f>
        <v>325.81600000000003</v>
      </c>
      <c r="E37" s="69">
        <f t="shared" si="0"/>
        <v>325.81600000000003</v>
      </c>
    </row>
    <row r="38" spans="1:5" s="49" customFormat="1" ht="16.5" customHeight="1" x14ac:dyDescent="0.2">
      <c r="A38" s="102" t="s">
        <v>1096</v>
      </c>
      <c r="B38" s="70"/>
      <c r="C38" s="70"/>
      <c r="D38" s="83">
        <f>((8.49+16.21+5.23+17.01+2.22+0.15+28.25+0.75+13.78+0.9)*3.2)+(27.66*0.6)+(19.42*0.6)</f>
        <v>325.81600000000003</v>
      </c>
      <c r="E38" s="69">
        <f t="shared" si="0"/>
        <v>325.81600000000003</v>
      </c>
    </row>
    <row r="39" spans="1:5" s="49" customFormat="1" ht="16.5" customHeight="1" x14ac:dyDescent="0.2">
      <c r="A39" s="102" t="s">
        <v>1097</v>
      </c>
      <c r="B39" s="70"/>
      <c r="C39" s="70"/>
      <c r="D39" s="83">
        <f>((8.49+16.21+5.23+17.03+30.64+14.09)*3.2)+(27.38*0.6)+(19.15*0.6)</f>
        <v>321.32600000000008</v>
      </c>
      <c r="E39" s="69">
        <f t="shared" si="0"/>
        <v>321.32600000000008</v>
      </c>
    </row>
    <row r="40" spans="1:5" s="49" customFormat="1" ht="16.5" customHeight="1" x14ac:dyDescent="0.2">
      <c r="A40" s="102" t="s">
        <v>1098</v>
      </c>
      <c r="B40" s="70"/>
      <c r="C40" s="70"/>
      <c r="D40" s="83">
        <f>((1.94+3.84+1.94+3.84)+(2.17+2.17+2.37+2.37))*1</f>
        <v>20.64</v>
      </c>
      <c r="E40" s="69">
        <f t="shared" si="0"/>
        <v>20.64</v>
      </c>
    </row>
    <row r="41" spans="1:5" s="49" customFormat="1" ht="16.5" customHeight="1" x14ac:dyDescent="0.2">
      <c r="A41" s="102" t="s">
        <v>1300</v>
      </c>
      <c r="B41" s="70"/>
      <c r="C41" s="70"/>
      <c r="D41" s="83">
        <f>(6.46+6.87+6.87+6.46)*2.8</f>
        <v>74.647999999999996</v>
      </c>
      <c r="E41" s="69">
        <f t="shared" si="0"/>
        <v>74.647999999999996</v>
      </c>
    </row>
    <row r="42" spans="1:5" s="49" customFormat="1" ht="16.5" customHeight="1" x14ac:dyDescent="0.2">
      <c r="A42" s="102" t="s">
        <v>1099</v>
      </c>
      <c r="B42" s="70"/>
      <c r="C42" s="70"/>
      <c r="D42" s="83">
        <f>((6.46+6.87+6.87+6.46)*2.8)+((8.49+16.21+5.23+10.16+24.17+14.09+2.73+19.15)*6.15)</f>
        <v>691.06250000000023</v>
      </c>
      <c r="E42" s="69">
        <f t="shared" si="0"/>
        <v>691.06250000000023</v>
      </c>
    </row>
    <row r="43" spans="1:5" s="49" customFormat="1" ht="16.5" customHeight="1" x14ac:dyDescent="0.2">
      <c r="A43" s="99" t="s">
        <v>988</v>
      </c>
      <c r="B43" s="70"/>
      <c r="C43" s="70"/>
      <c r="D43" s="83">
        <f>((59+8)*1.15)+(54.7*1.15)</f>
        <v>139.95499999999998</v>
      </c>
      <c r="E43" s="69">
        <f t="shared" si="0"/>
        <v>139.95499999999998</v>
      </c>
    </row>
    <row r="44" spans="1:5" s="49" customFormat="1" ht="16.5" customHeight="1" x14ac:dyDescent="0.2">
      <c r="A44" s="99" t="s">
        <v>1100</v>
      </c>
      <c r="B44" s="70"/>
      <c r="C44" s="70"/>
      <c r="D44" s="83">
        <f>((6.25+6.25)*1.15)+((6.25+6.25)*0.5)</f>
        <v>20.625</v>
      </c>
      <c r="E44" s="69">
        <f t="shared" si="0"/>
        <v>20.625</v>
      </c>
    </row>
    <row r="45" spans="1:5" s="49" customFormat="1" ht="16.5" customHeight="1" x14ac:dyDescent="0.2">
      <c r="A45" s="99" t="s">
        <v>1301</v>
      </c>
      <c r="B45" s="70"/>
      <c r="C45" s="70"/>
      <c r="D45" s="83">
        <f>(15.21+15.21)*0.7</f>
        <v>21.294</v>
      </c>
      <c r="E45" s="69">
        <f t="shared" si="0"/>
        <v>21.294</v>
      </c>
    </row>
    <row r="46" spans="1:5" s="49" customFormat="1" ht="16.5" customHeight="1" x14ac:dyDescent="0.2">
      <c r="A46" s="99" t="s">
        <v>1101</v>
      </c>
      <c r="B46" s="70"/>
      <c r="C46" s="70"/>
      <c r="D46" s="83">
        <f>24.38*0.75</f>
        <v>18.285</v>
      </c>
      <c r="E46" s="69">
        <f t="shared" si="0"/>
        <v>18.285</v>
      </c>
    </row>
    <row r="47" spans="1:5" s="49" customFormat="1" ht="16.5" customHeight="1" x14ac:dyDescent="0.2">
      <c r="A47" s="99"/>
      <c r="B47" s="70"/>
      <c r="C47" s="70"/>
      <c r="D47" s="83"/>
      <c r="E47" s="69"/>
    </row>
    <row r="48" spans="1:5" s="49" customFormat="1" ht="16.5" customHeight="1" x14ac:dyDescent="0.2">
      <c r="A48" s="237" t="s">
        <v>1406</v>
      </c>
      <c r="B48" s="238"/>
      <c r="C48" s="238"/>
      <c r="D48" s="238"/>
      <c r="E48" s="69">
        <f>SUM(E30:E45)</f>
        <v>3618.8665000000001</v>
      </c>
    </row>
    <row r="49" spans="1:5" s="49" customFormat="1" ht="16.5" customHeight="1" x14ac:dyDescent="0.2">
      <c r="A49" s="237" t="s">
        <v>1102</v>
      </c>
      <c r="B49" s="238"/>
      <c r="C49" s="238"/>
      <c r="D49" s="238"/>
      <c r="E49" s="69">
        <v>3618.87</v>
      </c>
    </row>
    <row r="50" spans="1:5" s="49" customFormat="1" ht="16.5" customHeight="1" x14ac:dyDescent="0.2">
      <c r="A50" s="237" t="s">
        <v>1407</v>
      </c>
      <c r="B50" s="238"/>
      <c r="C50" s="238"/>
      <c r="D50" s="238"/>
      <c r="E50" s="69">
        <v>3121.87</v>
      </c>
    </row>
    <row r="51" spans="1:5" s="39" customFormat="1" ht="14.25" customHeight="1" x14ac:dyDescent="0.2">
      <c r="A51" s="239" t="s">
        <v>1408</v>
      </c>
      <c r="B51" s="240"/>
      <c r="C51" s="240"/>
      <c r="D51" s="240"/>
      <c r="E51" s="89">
        <f>E48-E50</f>
        <v>496.9965000000002</v>
      </c>
    </row>
    <row r="52" spans="1:5" ht="14.25" customHeight="1" x14ac:dyDescent="0.2">
      <c r="A52" s="285"/>
      <c r="B52" s="286"/>
      <c r="C52" s="48"/>
      <c r="D52" s="48"/>
      <c r="E52" s="58"/>
    </row>
    <row r="53" spans="1:5" s="39" customFormat="1" ht="42.75" customHeight="1" x14ac:dyDescent="0.2">
      <c r="A53" s="41" t="s">
        <v>915</v>
      </c>
      <c r="B53" s="235" t="s">
        <v>198</v>
      </c>
      <c r="C53" s="235"/>
      <c r="D53" s="235"/>
      <c r="E53" s="235"/>
    </row>
    <row r="54" spans="1:5" s="49" customFormat="1" ht="16.5" customHeight="1" x14ac:dyDescent="0.2">
      <c r="A54" s="296" t="s">
        <v>821</v>
      </c>
      <c r="B54" s="297"/>
      <c r="C54" s="74"/>
      <c r="D54" s="74" t="s">
        <v>977</v>
      </c>
      <c r="E54" s="69" t="s">
        <v>880</v>
      </c>
    </row>
    <row r="55" spans="1:5" s="49" customFormat="1" ht="16.5" customHeight="1" x14ac:dyDescent="0.2">
      <c r="A55" s="298" t="s">
        <v>1302</v>
      </c>
      <c r="B55" s="299"/>
      <c r="C55" s="299"/>
      <c r="D55" s="83">
        <f>E48</f>
        <v>3618.8665000000001</v>
      </c>
      <c r="E55" s="69">
        <f>D55</f>
        <v>3618.8665000000001</v>
      </c>
    </row>
    <row r="56" spans="1:5" s="49" customFormat="1" ht="16.5" customHeight="1" x14ac:dyDescent="0.2">
      <c r="A56" s="237" t="s">
        <v>978</v>
      </c>
      <c r="B56" s="238"/>
      <c r="C56" s="238"/>
      <c r="D56" s="238"/>
      <c r="E56" s="69">
        <f>SUM(E55:E55)</f>
        <v>3618.8665000000001</v>
      </c>
    </row>
    <row r="57" spans="1:5" s="49" customFormat="1" ht="16.5" customHeight="1" x14ac:dyDescent="0.2">
      <c r="A57" s="237" t="s">
        <v>979</v>
      </c>
      <c r="B57" s="238"/>
      <c r="C57" s="238"/>
      <c r="D57" s="238"/>
      <c r="E57" s="69">
        <v>3618.87</v>
      </c>
    </row>
    <row r="58" spans="1:5" s="49" customFormat="1" ht="16.5" customHeight="1" x14ac:dyDescent="0.2">
      <c r="A58" s="237" t="s">
        <v>1409</v>
      </c>
      <c r="B58" s="238"/>
      <c r="C58" s="238"/>
      <c r="D58" s="238"/>
      <c r="E58" s="69">
        <v>3121.87</v>
      </c>
    </row>
    <row r="59" spans="1:5" s="39" customFormat="1" ht="14.25" customHeight="1" x14ac:dyDescent="0.2">
      <c r="A59" s="239" t="s">
        <v>1410</v>
      </c>
      <c r="B59" s="240"/>
      <c r="C59" s="240"/>
      <c r="D59" s="240"/>
      <c r="E59" s="89">
        <f>E56-E58</f>
        <v>496.9965000000002</v>
      </c>
    </row>
    <row r="60" spans="1:5" ht="14.25" customHeight="1" x14ac:dyDescent="0.2">
      <c r="A60" s="285"/>
      <c r="B60" s="286"/>
      <c r="C60" s="48"/>
      <c r="D60" s="48"/>
      <c r="E60" s="58"/>
    </row>
    <row r="61" spans="1:5" ht="17.25" customHeight="1" x14ac:dyDescent="0.2">
      <c r="A61" s="40" t="s">
        <v>1048</v>
      </c>
      <c r="B61" s="234" t="s">
        <v>200</v>
      </c>
      <c r="C61" s="234"/>
      <c r="D61" s="234"/>
      <c r="E61" s="234"/>
    </row>
    <row r="62" spans="1:5" s="39" customFormat="1" ht="25.5" customHeight="1" x14ac:dyDescent="0.2">
      <c r="A62" s="41" t="s">
        <v>1049</v>
      </c>
      <c r="B62" s="235" t="s">
        <v>202</v>
      </c>
      <c r="C62" s="235"/>
      <c r="D62" s="235"/>
      <c r="E62" s="235"/>
    </row>
    <row r="63" spans="1:5" s="49" customFormat="1" ht="16.5" customHeight="1" x14ac:dyDescent="0.2">
      <c r="A63" s="296" t="s">
        <v>821</v>
      </c>
      <c r="B63" s="297"/>
      <c r="C63" s="74"/>
      <c r="D63" s="74" t="s">
        <v>1418</v>
      </c>
      <c r="E63" s="69" t="s">
        <v>880</v>
      </c>
    </row>
    <row r="64" spans="1:5" s="49" customFormat="1" ht="16.5" customHeight="1" x14ac:dyDescent="0.2">
      <c r="A64" s="298" t="s">
        <v>1417</v>
      </c>
      <c r="B64" s="299"/>
      <c r="C64" s="299"/>
      <c r="D64" s="83">
        <f>'6.0'!F26</f>
        <v>1613.5165999999999</v>
      </c>
      <c r="E64" s="69">
        <f>D64</f>
        <v>1613.5165999999999</v>
      </c>
    </row>
    <row r="65" spans="1:5" s="49" customFormat="1" ht="16.5" customHeight="1" x14ac:dyDescent="0.2">
      <c r="A65" s="237" t="s">
        <v>1419</v>
      </c>
      <c r="B65" s="238"/>
      <c r="C65" s="238"/>
      <c r="D65" s="238"/>
      <c r="E65" s="69">
        <f>SUM(E64:E64)</f>
        <v>1613.5165999999999</v>
      </c>
    </row>
    <row r="66" spans="1:5" s="49" customFormat="1" ht="16.5" customHeight="1" x14ac:dyDescent="0.2">
      <c r="A66" s="237" t="s">
        <v>1420</v>
      </c>
      <c r="B66" s="238"/>
      <c r="C66" s="238"/>
      <c r="D66" s="238"/>
      <c r="E66" s="69">
        <v>921.15</v>
      </c>
    </row>
    <row r="67" spans="1:5" s="49" customFormat="1" ht="16.5" customHeight="1" x14ac:dyDescent="0.2">
      <c r="A67" s="237" t="s">
        <v>1421</v>
      </c>
      <c r="B67" s="238"/>
      <c r="C67" s="238"/>
      <c r="D67" s="238"/>
      <c r="E67" s="69">
        <v>710.58</v>
      </c>
    </row>
    <row r="68" spans="1:5" s="39" customFormat="1" ht="14.25" customHeight="1" x14ac:dyDescent="0.2">
      <c r="A68" s="239" t="s">
        <v>1422</v>
      </c>
      <c r="B68" s="240"/>
      <c r="C68" s="240"/>
      <c r="D68" s="240"/>
      <c r="E68" s="89">
        <f>E66-E67</f>
        <v>210.56999999999994</v>
      </c>
    </row>
    <row r="69" spans="1:5" ht="14.25" customHeight="1" x14ac:dyDescent="0.2">
      <c r="A69" s="246" t="s">
        <v>1423</v>
      </c>
      <c r="B69" s="247"/>
      <c r="C69" s="247"/>
      <c r="D69" s="247"/>
      <c r="E69" s="170">
        <f>E66-E65</f>
        <v>-692.36659999999995</v>
      </c>
    </row>
  </sheetData>
  <mergeCells count="47">
    <mergeCell ref="A12:D12"/>
    <mergeCell ref="A50:D50"/>
    <mergeCell ref="A58:D58"/>
    <mergeCell ref="B62:E62"/>
    <mergeCell ref="A63:B63"/>
    <mergeCell ref="B61:E61"/>
    <mergeCell ref="B19:E19"/>
    <mergeCell ref="A20:B20"/>
    <mergeCell ref="C20:D20"/>
    <mergeCell ref="C21:D21"/>
    <mergeCell ref="A22:D22"/>
    <mergeCell ref="A23:D23"/>
    <mergeCell ref="A56:D56"/>
    <mergeCell ref="A57:D57"/>
    <mergeCell ref="A59:D59"/>
    <mergeCell ref="A60:B60"/>
    <mergeCell ref="A64:C64"/>
    <mergeCell ref="A65:D65"/>
    <mergeCell ref="A66:D66"/>
    <mergeCell ref="A67:D67"/>
    <mergeCell ref="A68:D68"/>
    <mergeCell ref="A69:D69"/>
    <mergeCell ref="A6:E6"/>
    <mergeCell ref="B8:E8"/>
    <mergeCell ref="B9:E9"/>
    <mergeCell ref="A18:B18"/>
    <mergeCell ref="B10:E10"/>
    <mergeCell ref="A11:B11"/>
    <mergeCell ref="C11:D11"/>
    <mergeCell ref="C13:D13"/>
    <mergeCell ref="A14:D14"/>
    <mergeCell ref="A15:D15"/>
    <mergeCell ref="A17:D17"/>
    <mergeCell ref="B27:E27"/>
    <mergeCell ref="B28:E28"/>
    <mergeCell ref="A29:B29"/>
    <mergeCell ref="A48:D48"/>
    <mergeCell ref="A16:D16"/>
    <mergeCell ref="A24:D24"/>
    <mergeCell ref="A49:D49"/>
    <mergeCell ref="A51:D51"/>
    <mergeCell ref="A52:B52"/>
    <mergeCell ref="B53:E53"/>
    <mergeCell ref="A54:B54"/>
    <mergeCell ref="A55:C55"/>
    <mergeCell ref="A25:D25"/>
    <mergeCell ref="A26:B26"/>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272F-A464-41AF-BBBE-F49CC27BDD21}">
  <sheetPr>
    <tabColor theme="9" tint="-0.499984740745262"/>
  </sheetPr>
  <dimension ref="A1:E83"/>
  <sheetViews>
    <sheetView view="pageBreakPreview" topLeftCell="A63" zoomScale="90" zoomScaleNormal="95" zoomScaleSheetLayoutView="90" workbookViewId="0">
      <selection activeCell="F63" sqref="F1:F1048576"/>
    </sheetView>
  </sheetViews>
  <sheetFormatPr defaultColWidth="9" defaultRowHeight="12.75" x14ac:dyDescent="0.2"/>
  <cols>
    <col min="1" max="1" width="19.25" style="31" customWidth="1"/>
    <col min="2" max="2" width="17.75" style="31" customWidth="1"/>
    <col min="3" max="3" width="13.625" style="31" bestFit="1" customWidth="1"/>
    <col min="4" max="4" width="17.25" style="31" customWidth="1"/>
    <col min="5" max="5" width="15" style="38" customWidth="1"/>
    <col min="6" max="16384" width="9" style="29"/>
  </cols>
  <sheetData>
    <row r="1" spans="1:5" x14ac:dyDescent="0.2">
      <c r="A1" s="26"/>
      <c r="B1" s="27"/>
      <c r="C1" s="27"/>
      <c r="D1" s="27"/>
      <c r="E1" s="28"/>
    </row>
    <row r="2" spans="1:5" x14ac:dyDescent="0.2">
      <c r="A2" s="30"/>
      <c r="E2" s="32"/>
    </row>
    <row r="3" spans="1:5" x14ac:dyDescent="0.2">
      <c r="A3" s="30"/>
      <c r="E3" s="32"/>
    </row>
    <row r="4" spans="1:5" x14ac:dyDescent="0.2">
      <c r="A4" s="30"/>
      <c r="E4" s="32"/>
    </row>
    <row r="5" spans="1:5" x14ac:dyDescent="0.2">
      <c r="A5" s="33"/>
      <c r="B5" s="34"/>
      <c r="C5" s="35"/>
      <c r="D5" s="35"/>
      <c r="E5" s="36"/>
    </row>
    <row r="6" spans="1:5" x14ac:dyDescent="0.2">
      <c r="A6" s="33" t="s">
        <v>820</v>
      </c>
      <c r="B6" s="34"/>
      <c r="C6" s="35"/>
      <c r="D6" s="35"/>
      <c r="E6" s="36"/>
    </row>
    <row r="7" spans="1:5" x14ac:dyDescent="0.2">
      <c r="A7" s="33" t="s">
        <v>2</v>
      </c>
      <c r="B7" s="34"/>
      <c r="C7" s="35"/>
      <c r="D7" s="35"/>
      <c r="E7" s="36"/>
    </row>
    <row r="8" spans="1:5" x14ac:dyDescent="0.2">
      <c r="A8" s="33" t="s">
        <v>1348</v>
      </c>
      <c r="B8" s="34"/>
      <c r="C8" s="35"/>
      <c r="D8" s="35"/>
      <c r="E8" s="36"/>
    </row>
    <row r="9" spans="1:5" ht="13.5" thickBot="1" x14ac:dyDescent="0.25">
      <c r="A9" s="33"/>
      <c r="B9" s="34"/>
      <c r="C9" s="35"/>
      <c r="D9" s="35"/>
      <c r="E9" s="36"/>
    </row>
    <row r="10" spans="1:5" s="39" customFormat="1" ht="21" customHeight="1" thickBot="1" x14ac:dyDescent="0.25">
      <c r="A10" s="250" t="s">
        <v>1352</v>
      </c>
      <c r="B10" s="251"/>
      <c r="C10" s="251"/>
      <c r="D10" s="251"/>
      <c r="E10" s="252"/>
    </row>
    <row r="11" spans="1:5" x14ac:dyDescent="0.2">
      <c r="A11" s="30"/>
      <c r="E11" s="32"/>
    </row>
    <row r="12" spans="1:5" ht="17.25" customHeight="1" x14ac:dyDescent="0.2">
      <c r="A12" s="40" t="s">
        <v>1034</v>
      </c>
      <c r="B12" s="234" t="s">
        <v>204</v>
      </c>
      <c r="C12" s="234"/>
      <c r="D12" s="234"/>
      <c r="E12" s="234"/>
    </row>
    <row r="13" spans="1:5" s="39" customFormat="1" ht="16.5" hidden="1" customHeight="1" x14ac:dyDescent="0.2">
      <c r="A13" s="106" t="s">
        <v>1035</v>
      </c>
      <c r="B13" s="302" t="s">
        <v>206</v>
      </c>
      <c r="C13" s="302"/>
      <c r="D13" s="302"/>
      <c r="E13" s="302"/>
    </row>
    <row r="14" spans="1:5" s="39" customFormat="1" ht="27.75" hidden="1" customHeight="1" x14ac:dyDescent="0.2">
      <c r="A14" s="41" t="s">
        <v>1036</v>
      </c>
      <c r="B14" s="235" t="s">
        <v>208</v>
      </c>
      <c r="C14" s="235"/>
      <c r="D14" s="235"/>
      <c r="E14" s="235"/>
    </row>
    <row r="15" spans="1:5" s="49" customFormat="1" ht="16.5" hidden="1" customHeight="1" x14ac:dyDescent="0.2">
      <c r="A15" s="296" t="s">
        <v>821</v>
      </c>
      <c r="B15" s="297"/>
      <c r="C15" s="74"/>
      <c r="D15" s="74" t="s">
        <v>822</v>
      </c>
      <c r="E15" s="69" t="s">
        <v>898</v>
      </c>
    </row>
    <row r="16" spans="1:5" s="49" customFormat="1" ht="16.5" hidden="1" customHeight="1" x14ac:dyDescent="0.2">
      <c r="A16" s="73" t="s">
        <v>1357</v>
      </c>
      <c r="B16" s="70"/>
      <c r="C16" s="70"/>
      <c r="D16" s="83">
        <f>595*1.5</f>
        <v>892.5</v>
      </c>
      <c r="E16" s="69">
        <f>D16</f>
        <v>892.5</v>
      </c>
    </row>
    <row r="17" spans="1:5" s="49" customFormat="1" ht="16.5" hidden="1" customHeight="1" x14ac:dyDescent="0.2">
      <c r="A17" s="99" t="s">
        <v>905</v>
      </c>
      <c r="B17" s="70"/>
      <c r="C17" s="70"/>
      <c r="D17" s="83">
        <v>1250</v>
      </c>
      <c r="E17" s="69">
        <f t="shared" ref="E17:E20" si="0">D17</f>
        <v>1250</v>
      </c>
    </row>
    <row r="18" spans="1:5" s="49" customFormat="1" ht="16.5" hidden="1" customHeight="1" x14ac:dyDescent="0.2">
      <c r="A18" s="73" t="s">
        <v>1871</v>
      </c>
      <c r="B18" s="70"/>
      <c r="C18" s="70"/>
      <c r="D18" s="83">
        <v>1250</v>
      </c>
      <c r="E18" s="69">
        <f t="shared" si="0"/>
        <v>1250</v>
      </c>
    </row>
    <row r="19" spans="1:5" s="49" customFormat="1" ht="16.5" hidden="1" customHeight="1" x14ac:dyDescent="0.2">
      <c r="A19" s="73" t="s">
        <v>1872</v>
      </c>
      <c r="B19" s="70"/>
      <c r="C19" s="70"/>
      <c r="D19" s="83">
        <v>1250</v>
      </c>
      <c r="E19" s="69">
        <f t="shared" si="0"/>
        <v>1250</v>
      </c>
    </row>
    <row r="20" spans="1:5" s="49" customFormat="1" ht="16.5" hidden="1" customHeight="1" x14ac:dyDescent="0.2">
      <c r="A20" s="73" t="s">
        <v>1873</v>
      </c>
      <c r="B20" s="70"/>
      <c r="C20" s="70"/>
      <c r="D20" s="83">
        <v>1085</v>
      </c>
      <c r="E20" s="69">
        <f t="shared" si="0"/>
        <v>1085</v>
      </c>
    </row>
    <row r="21" spans="1:5" s="49" customFormat="1" ht="16.5" hidden="1" customHeight="1" x14ac:dyDescent="0.2">
      <c r="A21" s="237" t="s">
        <v>1037</v>
      </c>
      <c r="B21" s="238"/>
      <c r="C21" s="238"/>
      <c r="D21" s="238"/>
      <c r="E21" s="69">
        <f>SUM(E16:E20)</f>
        <v>5727.5</v>
      </c>
    </row>
    <row r="22" spans="1:5" s="49" customFormat="1" ht="16.5" hidden="1" customHeight="1" x14ac:dyDescent="0.2">
      <c r="A22" s="237" t="s">
        <v>1038</v>
      </c>
      <c r="B22" s="238"/>
      <c r="C22" s="238"/>
      <c r="D22" s="238"/>
      <c r="E22" s="69">
        <v>6284.36</v>
      </c>
    </row>
    <row r="23" spans="1:5" s="39" customFormat="1" ht="14.25" hidden="1" customHeight="1" x14ac:dyDescent="0.2">
      <c r="A23" s="237" t="s">
        <v>1103</v>
      </c>
      <c r="B23" s="238"/>
      <c r="C23" s="238"/>
      <c r="D23" s="238"/>
      <c r="E23" s="46">
        <v>2819.48</v>
      </c>
    </row>
    <row r="24" spans="1:5" s="39" customFormat="1" ht="16.5" hidden="1" customHeight="1" x14ac:dyDescent="0.2">
      <c r="A24" s="239" t="s">
        <v>1104</v>
      </c>
      <c r="B24" s="240"/>
      <c r="C24" s="240"/>
      <c r="D24" s="240"/>
      <c r="E24" s="68">
        <f>E21-E23</f>
        <v>2908.02</v>
      </c>
    </row>
    <row r="25" spans="1:5" ht="14.25" hidden="1" customHeight="1" x14ac:dyDescent="0.2">
      <c r="A25" s="285"/>
      <c r="B25" s="286"/>
      <c r="C25" s="48"/>
      <c r="D25" s="48"/>
      <c r="E25" s="58"/>
    </row>
    <row r="26" spans="1:5" s="39" customFormat="1" ht="41.25" hidden="1" customHeight="1" x14ac:dyDescent="0.2">
      <c r="A26" s="41" t="s">
        <v>1039</v>
      </c>
      <c r="B26" s="235" t="s">
        <v>218</v>
      </c>
      <c r="C26" s="235"/>
      <c r="D26" s="235"/>
      <c r="E26" s="235"/>
    </row>
    <row r="27" spans="1:5" s="49" customFormat="1" ht="16.5" hidden="1" customHeight="1" x14ac:dyDescent="0.2">
      <c r="A27" s="296" t="s">
        <v>821</v>
      </c>
      <c r="B27" s="297"/>
      <c r="C27" s="74"/>
      <c r="D27" s="74" t="s">
        <v>822</v>
      </c>
      <c r="E27" s="69" t="s">
        <v>898</v>
      </c>
    </row>
    <row r="28" spans="1:5" s="49" customFormat="1" ht="16.5" hidden="1" customHeight="1" x14ac:dyDescent="0.2">
      <c r="A28" s="73" t="s">
        <v>1357</v>
      </c>
      <c r="B28" s="70"/>
      <c r="C28" s="70"/>
      <c r="D28" s="83">
        <f>595*1.5</f>
        <v>892.5</v>
      </c>
      <c r="E28" s="69">
        <f>D28</f>
        <v>892.5</v>
      </c>
    </row>
    <row r="29" spans="1:5" s="49" customFormat="1" ht="16.5" hidden="1" customHeight="1" x14ac:dyDescent="0.2">
      <c r="A29" s="99" t="s">
        <v>905</v>
      </c>
      <c r="B29" s="70"/>
      <c r="C29" s="70"/>
      <c r="D29" s="83">
        <v>1250</v>
      </c>
      <c r="E29" s="69">
        <f t="shared" ref="E29:E32" si="1">D29</f>
        <v>1250</v>
      </c>
    </row>
    <row r="30" spans="1:5" s="49" customFormat="1" ht="16.5" hidden="1" customHeight="1" x14ac:dyDescent="0.2">
      <c r="A30" s="73" t="s">
        <v>1871</v>
      </c>
      <c r="B30" s="70"/>
      <c r="C30" s="70"/>
      <c r="D30" s="83">
        <v>1250</v>
      </c>
      <c r="E30" s="69">
        <f t="shared" si="1"/>
        <v>1250</v>
      </c>
    </row>
    <row r="31" spans="1:5" s="49" customFormat="1" ht="16.5" hidden="1" customHeight="1" x14ac:dyDescent="0.2">
      <c r="A31" s="73" t="s">
        <v>1872</v>
      </c>
      <c r="B31" s="70"/>
      <c r="C31" s="70"/>
      <c r="D31" s="83">
        <v>1250</v>
      </c>
      <c r="E31" s="69">
        <f t="shared" si="1"/>
        <v>1250</v>
      </c>
    </row>
    <row r="32" spans="1:5" s="49" customFormat="1" ht="16.5" hidden="1" customHeight="1" x14ac:dyDescent="0.2">
      <c r="A32" s="73" t="s">
        <v>1873</v>
      </c>
      <c r="B32" s="70"/>
      <c r="C32" s="70"/>
      <c r="D32" s="83">
        <v>1085</v>
      </c>
      <c r="E32" s="69">
        <f t="shared" si="1"/>
        <v>1085</v>
      </c>
    </row>
    <row r="33" spans="1:5" s="49" customFormat="1" ht="16.5" hidden="1" customHeight="1" x14ac:dyDescent="0.2">
      <c r="A33" s="237" t="s">
        <v>1040</v>
      </c>
      <c r="B33" s="238"/>
      <c r="C33" s="238"/>
      <c r="D33" s="238"/>
      <c r="E33" s="69">
        <f>SUM(E28:E32)</f>
        <v>5727.5</v>
      </c>
    </row>
    <row r="34" spans="1:5" s="49" customFormat="1" ht="16.5" hidden="1" customHeight="1" x14ac:dyDescent="0.2">
      <c r="A34" s="237" t="s">
        <v>1041</v>
      </c>
      <c r="B34" s="238"/>
      <c r="C34" s="238"/>
      <c r="D34" s="238"/>
      <c r="E34" s="69">
        <v>6284.36</v>
      </c>
    </row>
    <row r="35" spans="1:5" s="39" customFormat="1" ht="14.25" hidden="1" customHeight="1" x14ac:dyDescent="0.2">
      <c r="A35" s="237" t="s">
        <v>1107</v>
      </c>
      <c r="B35" s="238"/>
      <c r="C35" s="238"/>
      <c r="D35" s="238"/>
      <c r="E35" s="46">
        <v>2819.48</v>
      </c>
    </row>
    <row r="36" spans="1:5" s="39" customFormat="1" ht="16.5" hidden="1" customHeight="1" x14ac:dyDescent="0.2">
      <c r="A36" s="239" t="s">
        <v>1108</v>
      </c>
      <c r="B36" s="240"/>
      <c r="C36" s="240"/>
      <c r="D36" s="240"/>
      <c r="E36" s="68">
        <f>E33-E35</f>
        <v>2908.02</v>
      </c>
    </row>
    <row r="37" spans="1:5" ht="14.25" hidden="1" customHeight="1" x14ac:dyDescent="0.2">
      <c r="A37" s="285"/>
      <c r="B37" s="286"/>
      <c r="C37" s="48"/>
      <c r="D37" s="48"/>
      <c r="E37" s="58"/>
    </row>
    <row r="38" spans="1:5" s="39" customFormat="1" ht="29.25" hidden="1" customHeight="1" x14ac:dyDescent="0.2">
      <c r="A38" s="41" t="s">
        <v>1105</v>
      </c>
      <c r="B38" s="235" t="s">
        <v>212</v>
      </c>
      <c r="C38" s="235"/>
      <c r="D38" s="235"/>
      <c r="E38" s="235"/>
    </row>
    <row r="39" spans="1:5" s="49" customFormat="1" ht="16.5" hidden="1" customHeight="1" x14ac:dyDescent="0.2">
      <c r="A39" s="296" t="s">
        <v>821</v>
      </c>
      <c r="B39" s="297"/>
      <c r="C39" s="74"/>
      <c r="D39" s="74" t="s">
        <v>822</v>
      </c>
      <c r="E39" s="69" t="s">
        <v>898</v>
      </c>
    </row>
    <row r="40" spans="1:5" s="49" customFormat="1" ht="16.5" hidden="1" customHeight="1" x14ac:dyDescent="0.2">
      <c r="A40" s="99" t="s">
        <v>905</v>
      </c>
      <c r="B40" s="70"/>
      <c r="C40" s="70"/>
      <c r="D40" s="83">
        <v>1250</v>
      </c>
      <c r="E40" s="69">
        <f t="shared" ref="E40:E42" si="2">D40</f>
        <v>1250</v>
      </c>
    </row>
    <row r="41" spans="1:5" s="49" customFormat="1" ht="16.5" hidden="1" customHeight="1" x14ac:dyDescent="0.2">
      <c r="A41" s="73" t="s">
        <v>1871</v>
      </c>
      <c r="B41" s="70"/>
      <c r="C41" s="70"/>
      <c r="D41" s="83">
        <v>1250</v>
      </c>
      <c r="E41" s="69">
        <f t="shared" si="2"/>
        <v>1250</v>
      </c>
    </row>
    <row r="42" spans="1:5" s="49" customFormat="1" ht="16.5" hidden="1" customHeight="1" x14ac:dyDescent="0.2">
      <c r="A42" s="73" t="s">
        <v>1872</v>
      </c>
      <c r="B42" s="70"/>
      <c r="C42" s="70"/>
      <c r="D42" s="83">
        <v>408.02</v>
      </c>
      <c r="E42" s="69">
        <f t="shared" si="2"/>
        <v>408.02</v>
      </c>
    </row>
    <row r="43" spans="1:5" s="49" customFormat="1" ht="16.5" hidden="1" customHeight="1" x14ac:dyDescent="0.2">
      <c r="A43" s="237" t="s">
        <v>1106</v>
      </c>
      <c r="B43" s="238"/>
      <c r="C43" s="238"/>
      <c r="D43" s="238"/>
      <c r="E43" s="69">
        <f>SUM(E40:E42)</f>
        <v>2908.02</v>
      </c>
    </row>
    <row r="44" spans="1:5" s="49" customFormat="1" ht="16.5" hidden="1" customHeight="1" x14ac:dyDescent="0.2">
      <c r="A44" s="237" t="s">
        <v>1874</v>
      </c>
      <c r="B44" s="238"/>
      <c r="C44" s="238"/>
      <c r="D44" s="238"/>
      <c r="E44" s="69">
        <v>6284.36</v>
      </c>
    </row>
    <row r="45" spans="1:5" s="39" customFormat="1" ht="14.25" hidden="1" customHeight="1" x14ac:dyDescent="0.2">
      <c r="A45" s="237" t="s">
        <v>1109</v>
      </c>
      <c r="B45" s="238"/>
      <c r="C45" s="238"/>
      <c r="D45" s="238"/>
      <c r="E45" s="46">
        <v>0</v>
      </c>
    </row>
    <row r="46" spans="1:5" s="39" customFormat="1" ht="16.5" hidden="1" customHeight="1" x14ac:dyDescent="0.2">
      <c r="A46" s="239" t="s">
        <v>1110</v>
      </c>
      <c r="B46" s="240"/>
      <c r="C46" s="240"/>
      <c r="D46" s="240"/>
      <c r="E46" s="68">
        <f>E43-E45</f>
        <v>2908.02</v>
      </c>
    </row>
    <row r="47" spans="1:5" ht="14.25" hidden="1" customHeight="1" x14ac:dyDescent="0.2">
      <c r="A47" s="285"/>
      <c r="B47" s="286"/>
      <c r="C47" s="48"/>
      <c r="D47" s="48"/>
      <c r="E47" s="58"/>
    </row>
    <row r="48" spans="1:5" s="39" customFormat="1" ht="16.5" customHeight="1" x14ac:dyDescent="0.2">
      <c r="A48" s="106" t="s">
        <v>1112</v>
      </c>
      <c r="B48" s="302" t="s">
        <v>214</v>
      </c>
      <c r="C48" s="302"/>
      <c r="D48" s="302"/>
      <c r="E48" s="302"/>
    </row>
    <row r="49" spans="1:5" s="39" customFormat="1" ht="27.75" customHeight="1" x14ac:dyDescent="0.2">
      <c r="A49" s="41" t="s">
        <v>1113</v>
      </c>
      <c r="B49" s="235" t="s">
        <v>216</v>
      </c>
      <c r="C49" s="235"/>
      <c r="D49" s="235"/>
      <c r="E49" s="235"/>
    </row>
    <row r="50" spans="1:5" s="49" customFormat="1" ht="16.5" customHeight="1" x14ac:dyDescent="0.2">
      <c r="A50" s="296" t="s">
        <v>821</v>
      </c>
      <c r="B50" s="297"/>
      <c r="C50" s="74"/>
      <c r="D50" s="80" t="s">
        <v>822</v>
      </c>
      <c r="E50" s="69" t="s">
        <v>898</v>
      </c>
    </row>
    <row r="51" spans="1:5" s="49" customFormat="1" ht="16.5" customHeight="1" x14ac:dyDescent="0.2">
      <c r="A51" s="99" t="s">
        <v>1875</v>
      </c>
      <c r="B51" s="70"/>
      <c r="C51" s="70"/>
      <c r="D51" s="83">
        <v>750</v>
      </c>
      <c r="E51" s="69">
        <f t="shared" ref="E51:E54" si="3">D51</f>
        <v>750</v>
      </c>
    </row>
    <row r="52" spans="1:5" s="49" customFormat="1" ht="16.5" customHeight="1" x14ac:dyDescent="0.2">
      <c r="A52" s="73" t="s">
        <v>1876</v>
      </c>
      <c r="B52" s="70"/>
      <c r="C52" s="70"/>
      <c r="D52" s="83">
        <v>958</v>
      </c>
      <c r="E52" s="69">
        <f t="shared" si="3"/>
        <v>958</v>
      </c>
    </row>
    <row r="53" spans="1:5" s="49" customFormat="1" ht="16.5" customHeight="1" x14ac:dyDescent="0.2">
      <c r="A53" s="73" t="s">
        <v>1878</v>
      </c>
      <c r="B53" s="70"/>
      <c r="C53" s="70"/>
      <c r="D53" s="83">
        <v>559</v>
      </c>
      <c r="E53" s="69">
        <f t="shared" si="3"/>
        <v>559</v>
      </c>
    </row>
    <row r="54" spans="1:5" s="49" customFormat="1" ht="16.5" customHeight="1" x14ac:dyDescent="0.2">
      <c r="A54" s="73" t="s">
        <v>1877</v>
      </c>
      <c r="B54" s="70"/>
      <c r="C54" s="70"/>
      <c r="D54" s="83">
        <v>395</v>
      </c>
      <c r="E54" s="69">
        <f t="shared" si="3"/>
        <v>395</v>
      </c>
    </row>
    <row r="55" spans="1:5" s="49" customFormat="1" ht="16.5" customHeight="1" x14ac:dyDescent="0.2">
      <c r="A55" s="73"/>
      <c r="B55" s="70"/>
      <c r="C55" s="70"/>
      <c r="D55" s="83"/>
      <c r="E55" s="69"/>
    </row>
    <row r="56" spans="1:5" s="49" customFormat="1" ht="16.5" customHeight="1" x14ac:dyDescent="0.2">
      <c r="A56" s="237" t="s">
        <v>1037</v>
      </c>
      <c r="B56" s="238"/>
      <c r="C56" s="238"/>
      <c r="D56" s="238"/>
      <c r="E56" s="69">
        <f>SUM(E51:E55)</f>
        <v>2662</v>
      </c>
    </row>
    <row r="57" spans="1:5" s="49" customFormat="1" ht="16.5" customHeight="1" x14ac:dyDescent="0.2">
      <c r="A57" s="237" t="s">
        <v>1038</v>
      </c>
      <c r="B57" s="238"/>
      <c r="C57" s="238"/>
      <c r="D57" s="238"/>
      <c r="E57" s="69">
        <v>3121.87</v>
      </c>
    </row>
    <row r="58" spans="1:5" s="39" customFormat="1" ht="14.25" customHeight="1" x14ac:dyDescent="0.2">
      <c r="A58" s="237" t="s">
        <v>1879</v>
      </c>
      <c r="B58" s="238"/>
      <c r="C58" s="238"/>
      <c r="D58" s="238"/>
      <c r="E58" s="46">
        <v>1560.6</v>
      </c>
    </row>
    <row r="59" spans="1:5" s="39" customFormat="1" ht="16.5" customHeight="1" x14ac:dyDescent="0.2">
      <c r="A59" s="239" t="s">
        <v>1880</v>
      </c>
      <c r="B59" s="240"/>
      <c r="C59" s="240"/>
      <c r="D59" s="240"/>
      <c r="E59" s="68">
        <f>E56-E58</f>
        <v>1101.4000000000001</v>
      </c>
    </row>
    <row r="60" spans="1:5" ht="14.25" customHeight="1" x14ac:dyDescent="0.2">
      <c r="A60" s="285"/>
      <c r="B60" s="286"/>
      <c r="C60" s="48"/>
      <c r="D60" s="48"/>
      <c r="E60" s="58"/>
    </row>
    <row r="61" spans="1:5" s="39" customFormat="1" ht="41.25" customHeight="1" x14ac:dyDescent="0.2">
      <c r="A61" s="41" t="s">
        <v>1114</v>
      </c>
      <c r="B61" s="235" t="s">
        <v>218</v>
      </c>
      <c r="C61" s="235"/>
      <c r="D61" s="235"/>
      <c r="E61" s="235"/>
    </row>
    <row r="62" spans="1:5" s="49" customFormat="1" ht="16.5" customHeight="1" x14ac:dyDescent="0.2">
      <c r="A62" s="296" t="s">
        <v>821</v>
      </c>
      <c r="B62" s="297"/>
      <c r="C62" s="74"/>
      <c r="D62" s="74" t="s">
        <v>822</v>
      </c>
      <c r="E62" s="69" t="s">
        <v>898</v>
      </c>
    </row>
    <row r="63" spans="1:5" s="49" customFormat="1" ht="16.5" customHeight="1" x14ac:dyDescent="0.2">
      <c r="A63" s="99" t="s">
        <v>1875</v>
      </c>
      <c r="B63" s="70"/>
      <c r="C63" s="70"/>
      <c r="D63" s="83">
        <v>750</v>
      </c>
      <c r="E63" s="69">
        <f t="shared" ref="E63:E66" si="4">D63</f>
        <v>750</v>
      </c>
    </row>
    <row r="64" spans="1:5" s="49" customFormat="1" ht="16.5" customHeight="1" x14ac:dyDescent="0.2">
      <c r="A64" s="73" t="s">
        <v>1876</v>
      </c>
      <c r="B64" s="70"/>
      <c r="C64" s="70"/>
      <c r="D64" s="83">
        <v>958</v>
      </c>
      <c r="E64" s="69">
        <f t="shared" si="4"/>
        <v>958</v>
      </c>
    </row>
    <row r="65" spans="1:5" s="49" customFormat="1" ht="16.5" customHeight="1" x14ac:dyDescent="0.2">
      <c r="A65" s="73" t="s">
        <v>1878</v>
      </c>
      <c r="B65" s="70"/>
      <c r="C65" s="70"/>
      <c r="D65" s="83">
        <v>559</v>
      </c>
      <c r="E65" s="69">
        <f t="shared" si="4"/>
        <v>559</v>
      </c>
    </row>
    <row r="66" spans="1:5" s="49" customFormat="1" ht="16.5" customHeight="1" x14ac:dyDescent="0.2">
      <c r="A66" s="73" t="s">
        <v>1877</v>
      </c>
      <c r="B66" s="70"/>
      <c r="C66" s="70"/>
      <c r="D66" s="83">
        <v>395</v>
      </c>
      <c r="E66" s="69">
        <f t="shared" si="4"/>
        <v>395</v>
      </c>
    </row>
    <row r="67" spans="1:5" s="49" customFormat="1" ht="16.5" customHeight="1" x14ac:dyDescent="0.2">
      <c r="A67" s="73"/>
      <c r="B67" s="70"/>
      <c r="C67" s="70"/>
      <c r="D67" s="83"/>
      <c r="E67" s="69"/>
    </row>
    <row r="68" spans="1:5" s="49" customFormat="1" ht="16.5" customHeight="1" x14ac:dyDescent="0.2">
      <c r="A68" s="237" t="s">
        <v>1040</v>
      </c>
      <c r="B68" s="238"/>
      <c r="C68" s="238"/>
      <c r="D68" s="238"/>
      <c r="E68" s="69">
        <f>SUM(E63:E67)</f>
        <v>2662</v>
      </c>
    </row>
    <row r="69" spans="1:5" s="49" customFormat="1" ht="16.5" customHeight="1" x14ac:dyDescent="0.2">
      <c r="A69" s="237" t="s">
        <v>1041</v>
      </c>
      <c r="B69" s="238"/>
      <c r="C69" s="238"/>
      <c r="D69" s="238"/>
      <c r="E69" s="69">
        <v>3121.87</v>
      </c>
    </row>
    <row r="70" spans="1:5" s="39" customFormat="1" ht="14.25" customHeight="1" x14ac:dyDescent="0.2">
      <c r="A70" s="237" t="s">
        <v>1811</v>
      </c>
      <c r="B70" s="238"/>
      <c r="C70" s="238"/>
      <c r="D70" s="238"/>
      <c r="E70" s="46">
        <v>1560.6</v>
      </c>
    </row>
    <row r="71" spans="1:5" s="39" customFormat="1" ht="16.5" customHeight="1" x14ac:dyDescent="0.2">
      <c r="A71" s="239" t="s">
        <v>1881</v>
      </c>
      <c r="B71" s="240"/>
      <c r="C71" s="240"/>
      <c r="D71" s="240"/>
      <c r="E71" s="68">
        <f>E68-E70</f>
        <v>1101.4000000000001</v>
      </c>
    </row>
    <row r="72" spans="1:5" ht="14.25" customHeight="1" x14ac:dyDescent="0.2">
      <c r="A72" s="285"/>
      <c r="B72" s="286"/>
      <c r="C72" s="48"/>
      <c r="D72" s="48"/>
      <c r="E72" s="58"/>
    </row>
    <row r="73" spans="1:5" s="39" customFormat="1" ht="41.25" customHeight="1" x14ac:dyDescent="0.2">
      <c r="A73" s="41" t="s">
        <v>1115</v>
      </c>
      <c r="B73" s="235" t="s">
        <v>220</v>
      </c>
      <c r="C73" s="235"/>
      <c r="D73" s="235"/>
      <c r="E73" s="235"/>
    </row>
    <row r="74" spans="1:5" s="49" customFormat="1" ht="16.5" customHeight="1" x14ac:dyDescent="0.2">
      <c r="A74" s="296" t="s">
        <v>821</v>
      </c>
      <c r="B74" s="297"/>
      <c r="C74" s="74"/>
      <c r="D74" s="74" t="s">
        <v>822</v>
      </c>
      <c r="E74" s="69" t="s">
        <v>898</v>
      </c>
    </row>
    <row r="75" spans="1:5" s="49" customFormat="1" ht="16.5" customHeight="1" x14ac:dyDescent="0.2">
      <c r="A75" s="99" t="s">
        <v>1875</v>
      </c>
      <c r="B75" s="70"/>
      <c r="C75" s="70"/>
      <c r="D75" s="83">
        <v>750</v>
      </c>
      <c r="E75" s="69">
        <f t="shared" ref="E75:E78" si="5">D75</f>
        <v>750</v>
      </c>
    </row>
    <row r="76" spans="1:5" s="49" customFormat="1" ht="16.5" customHeight="1" x14ac:dyDescent="0.2">
      <c r="A76" s="73" t="s">
        <v>1876</v>
      </c>
      <c r="B76" s="70"/>
      <c r="C76" s="70"/>
      <c r="D76" s="83">
        <v>958</v>
      </c>
      <c r="E76" s="69">
        <f t="shared" si="5"/>
        <v>958</v>
      </c>
    </row>
    <row r="77" spans="1:5" s="49" customFormat="1" ht="16.5" customHeight="1" x14ac:dyDescent="0.2">
      <c r="A77" s="73" t="s">
        <v>1877</v>
      </c>
      <c r="B77" s="70"/>
      <c r="C77" s="70"/>
      <c r="D77" s="83">
        <v>559</v>
      </c>
      <c r="E77" s="69">
        <f t="shared" ref="E77" si="6">D77</f>
        <v>559</v>
      </c>
    </row>
    <row r="78" spans="1:5" s="49" customFormat="1" ht="16.5" customHeight="1" x14ac:dyDescent="0.2">
      <c r="A78" s="73" t="s">
        <v>1877</v>
      </c>
      <c r="B78" s="70"/>
      <c r="C78" s="70"/>
      <c r="D78" s="83">
        <v>395</v>
      </c>
      <c r="E78" s="69">
        <f t="shared" si="5"/>
        <v>395</v>
      </c>
    </row>
    <row r="79" spans="1:5" s="49" customFormat="1" ht="16.5" customHeight="1" x14ac:dyDescent="0.2">
      <c r="A79" s="73"/>
      <c r="B79" s="70"/>
      <c r="C79" s="70"/>
      <c r="D79" s="83"/>
      <c r="E79" s="69"/>
    </row>
    <row r="80" spans="1:5" s="49" customFormat="1" ht="16.5" customHeight="1" x14ac:dyDescent="0.2">
      <c r="A80" s="237" t="s">
        <v>1116</v>
      </c>
      <c r="B80" s="238"/>
      <c r="C80" s="238"/>
      <c r="D80" s="238"/>
      <c r="E80" s="69">
        <f>SUM(E75:E79)</f>
        <v>2662</v>
      </c>
    </row>
    <row r="81" spans="1:5" s="49" customFormat="1" ht="16.5" customHeight="1" x14ac:dyDescent="0.2">
      <c r="A81" s="237" t="s">
        <v>1117</v>
      </c>
      <c r="B81" s="238"/>
      <c r="C81" s="238"/>
      <c r="D81" s="238"/>
      <c r="E81" s="69">
        <v>3121.87</v>
      </c>
    </row>
    <row r="82" spans="1:5" s="39" customFormat="1" ht="14.25" customHeight="1" x14ac:dyDescent="0.2">
      <c r="A82" s="237" t="s">
        <v>1882</v>
      </c>
      <c r="B82" s="238"/>
      <c r="C82" s="238"/>
      <c r="D82" s="238"/>
      <c r="E82" s="46">
        <v>1560.6</v>
      </c>
    </row>
    <row r="83" spans="1:5" s="39" customFormat="1" ht="16.5" customHeight="1" x14ac:dyDescent="0.2">
      <c r="A83" s="239" t="s">
        <v>1883</v>
      </c>
      <c r="B83" s="240"/>
      <c r="C83" s="240"/>
      <c r="D83" s="240"/>
      <c r="E83" s="68">
        <f>E80-E82</f>
        <v>1101.4000000000001</v>
      </c>
    </row>
  </sheetData>
  <mergeCells count="45">
    <mergeCell ref="A81:D81"/>
    <mergeCell ref="A82:D82"/>
    <mergeCell ref="A83:D83"/>
    <mergeCell ref="A70:D70"/>
    <mergeCell ref="A71:D71"/>
    <mergeCell ref="A72:B72"/>
    <mergeCell ref="B73:E73"/>
    <mergeCell ref="A74:B74"/>
    <mergeCell ref="A80:D80"/>
    <mergeCell ref="A69:D69"/>
    <mergeCell ref="B48:E48"/>
    <mergeCell ref="B49:E49"/>
    <mergeCell ref="A50:B50"/>
    <mergeCell ref="A56:D56"/>
    <mergeCell ref="A57:D57"/>
    <mergeCell ref="A58:D58"/>
    <mergeCell ref="A59:D59"/>
    <mergeCell ref="A60:B60"/>
    <mergeCell ref="B61:E61"/>
    <mergeCell ref="A62:B62"/>
    <mergeCell ref="A68:D68"/>
    <mergeCell ref="A47:B47"/>
    <mergeCell ref="A33:D33"/>
    <mergeCell ref="A34:D34"/>
    <mergeCell ref="A35:D35"/>
    <mergeCell ref="A36:D36"/>
    <mergeCell ref="A37:B37"/>
    <mergeCell ref="B38:E38"/>
    <mergeCell ref="A39:B39"/>
    <mergeCell ref="A43:D43"/>
    <mergeCell ref="A44:D44"/>
    <mergeCell ref="A45:D45"/>
    <mergeCell ref="A46:D46"/>
    <mergeCell ref="A10:E10"/>
    <mergeCell ref="A27:B27"/>
    <mergeCell ref="B12:E12"/>
    <mergeCell ref="B13:E13"/>
    <mergeCell ref="B14:E14"/>
    <mergeCell ref="A15:B15"/>
    <mergeCell ref="A21:D21"/>
    <mergeCell ref="A22:D22"/>
    <mergeCell ref="A23:D23"/>
    <mergeCell ref="A24:D24"/>
    <mergeCell ref="A25:B25"/>
    <mergeCell ref="B26:E2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6879-C82F-49B5-A35E-73811F952409}">
  <sheetPr>
    <tabColor theme="9" tint="-0.499984740745262"/>
  </sheetPr>
  <dimension ref="A1:D89"/>
  <sheetViews>
    <sheetView view="pageBreakPreview" topLeftCell="A73" zoomScale="90" zoomScaleNormal="95" zoomScaleSheetLayoutView="90" workbookViewId="0">
      <selection activeCell="E73" sqref="E1:E1048576"/>
    </sheetView>
  </sheetViews>
  <sheetFormatPr defaultColWidth="9" defaultRowHeight="12.75" x14ac:dyDescent="0.2"/>
  <cols>
    <col min="1" max="1" width="20.125" style="31" customWidth="1"/>
    <col min="2" max="2" width="23.625" style="31" customWidth="1"/>
    <col min="3" max="3" width="20.5" style="31" customWidth="1"/>
    <col min="4" max="4" width="20.125" style="38" customWidth="1"/>
    <col min="5" max="16384" width="9" style="29"/>
  </cols>
  <sheetData>
    <row r="1" spans="1:4" x14ac:dyDescent="0.2">
      <c r="A1" s="34"/>
      <c r="B1" s="34"/>
      <c r="C1" s="35"/>
      <c r="D1" s="54"/>
    </row>
    <row r="2" spans="1:4" x14ac:dyDescent="0.2">
      <c r="A2" s="34" t="s">
        <v>820</v>
      </c>
      <c r="B2" s="34"/>
      <c r="C2" s="35"/>
      <c r="D2" s="54"/>
    </row>
    <row r="3" spans="1:4" x14ac:dyDescent="0.2">
      <c r="A3" s="34" t="s">
        <v>2</v>
      </c>
      <c r="B3" s="34"/>
      <c r="C3" s="35"/>
      <c r="D3" s="54"/>
    </row>
    <row r="4" spans="1:4" x14ac:dyDescent="0.2">
      <c r="A4" s="34" t="s">
        <v>1348</v>
      </c>
      <c r="B4" s="34"/>
      <c r="C4" s="35"/>
      <c r="D4" s="35"/>
    </row>
    <row r="5" spans="1:4" ht="13.5" thickBot="1" x14ac:dyDescent="0.25">
      <c r="A5" s="34"/>
      <c r="B5" s="34"/>
      <c r="C5" s="35"/>
      <c r="D5" s="54"/>
    </row>
    <row r="6" spans="1:4" s="39" customFormat="1" ht="21" customHeight="1" thickBot="1" x14ac:dyDescent="0.25">
      <c r="A6" s="273" t="s">
        <v>1352</v>
      </c>
      <c r="B6" s="251"/>
      <c r="C6" s="251"/>
      <c r="D6" s="274"/>
    </row>
    <row r="7" spans="1:4" x14ac:dyDescent="0.2">
      <c r="A7" s="30"/>
      <c r="D7" s="32"/>
    </row>
    <row r="8" spans="1:4" ht="17.25" customHeight="1" x14ac:dyDescent="0.2">
      <c r="A8" s="40" t="s">
        <v>1052</v>
      </c>
      <c r="B8" s="234" t="s">
        <v>224</v>
      </c>
      <c r="C8" s="234"/>
      <c r="D8" s="234"/>
    </row>
    <row r="9" spans="1:4" ht="6" customHeight="1" x14ac:dyDescent="0.2">
      <c r="A9" s="303"/>
      <c r="B9" s="304"/>
      <c r="C9" s="114"/>
      <c r="D9" s="105"/>
    </row>
    <row r="10" spans="1:4" s="39" customFormat="1" ht="44.25" customHeight="1" x14ac:dyDescent="0.2">
      <c r="A10" s="41" t="s">
        <v>957</v>
      </c>
      <c r="B10" s="235" t="s">
        <v>226</v>
      </c>
      <c r="C10" s="235"/>
      <c r="D10" s="235"/>
    </row>
    <row r="11" spans="1:4" ht="14.25" customHeight="1" x14ac:dyDescent="0.2">
      <c r="A11" s="44" t="s">
        <v>821</v>
      </c>
      <c r="B11" s="45"/>
      <c r="C11" s="159" t="s">
        <v>822</v>
      </c>
      <c r="D11" s="108" t="s">
        <v>898</v>
      </c>
    </row>
    <row r="12" spans="1:4" s="39" customFormat="1" ht="14.25" customHeight="1" x14ac:dyDescent="0.2">
      <c r="A12" s="139" t="s">
        <v>1424</v>
      </c>
      <c r="B12" s="48"/>
      <c r="C12" s="111">
        <f>560.74+18.22</f>
        <v>578.96</v>
      </c>
      <c r="D12" s="112">
        <f>C12</f>
        <v>578.96</v>
      </c>
    </row>
    <row r="13" spans="1:4" s="39" customFormat="1" ht="14.25" customHeight="1" x14ac:dyDescent="0.2">
      <c r="A13" s="139" t="s">
        <v>905</v>
      </c>
      <c r="B13" s="48"/>
      <c r="C13" s="111">
        <f>25.24+72.87+73.11</f>
        <v>171.22</v>
      </c>
      <c r="D13" s="112">
        <f t="shared" ref="D13:D16" si="0">C13</f>
        <v>171.22</v>
      </c>
    </row>
    <row r="14" spans="1:4" s="39" customFormat="1" ht="14.25" customHeight="1" x14ac:dyDescent="0.2">
      <c r="A14" s="139" t="s">
        <v>1357</v>
      </c>
      <c r="B14" s="48"/>
      <c r="C14" s="111">
        <f>30.55+6.11+18.54+32.1</f>
        <v>87.300000000000011</v>
      </c>
      <c r="D14" s="112">
        <f t="shared" si="0"/>
        <v>87.300000000000011</v>
      </c>
    </row>
    <row r="15" spans="1:4" s="39" customFormat="1" ht="14.25" customHeight="1" x14ac:dyDescent="0.2">
      <c r="A15" s="139" t="s">
        <v>1032</v>
      </c>
      <c r="B15" s="48"/>
      <c r="C15" s="111">
        <f>97.59+90.6</f>
        <v>188.19</v>
      </c>
      <c r="D15" s="112">
        <f t="shared" si="0"/>
        <v>188.19</v>
      </c>
    </row>
    <row r="16" spans="1:4" s="39" customFormat="1" ht="14.25" customHeight="1" x14ac:dyDescent="0.2">
      <c r="A16" s="139" t="s">
        <v>917</v>
      </c>
      <c r="B16" s="48"/>
      <c r="C16" s="111">
        <f>440-283</f>
        <v>157</v>
      </c>
      <c r="D16" s="112">
        <f t="shared" si="0"/>
        <v>157</v>
      </c>
    </row>
    <row r="17" spans="1:4" s="39" customFormat="1" ht="14.25" customHeight="1" x14ac:dyDescent="0.2">
      <c r="A17" s="139"/>
      <c r="B17" s="48"/>
      <c r="C17" s="111"/>
      <c r="D17" s="112"/>
    </row>
    <row r="18" spans="1:4" ht="14.25" customHeight="1" x14ac:dyDescent="0.2">
      <c r="A18" s="228" t="s">
        <v>1304</v>
      </c>
      <c r="B18" s="229"/>
      <c r="C18" s="229"/>
      <c r="D18" s="58">
        <f>SUM(D12:D16)</f>
        <v>1182.67</v>
      </c>
    </row>
    <row r="19" spans="1:4" ht="14.25" customHeight="1" x14ac:dyDescent="0.2">
      <c r="A19" s="228" t="s">
        <v>1303</v>
      </c>
      <c r="B19" s="229"/>
      <c r="C19" s="229"/>
      <c r="D19" s="58">
        <v>1182.67</v>
      </c>
    </row>
    <row r="20" spans="1:4" ht="14.25" customHeight="1" x14ac:dyDescent="0.2">
      <c r="A20" s="230" t="s">
        <v>1431</v>
      </c>
      <c r="B20" s="231"/>
      <c r="C20" s="231"/>
      <c r="D20" s="65">
        <v>1097.3699999999999</v>
      </c>
    </row>
    <row r="21" spans="1:4" ht="14.25" customHeight="1" x14ac:dyDescent="0.2">
      <c r="A21" s="241" t="s">
        <v>1432</v>
      </c>
      <c r="B21" s="242"/>
      <c r="C21" s="242"/>
      <c r="D21" s="59">
        <f>D18-D20</f>
        <v>85.300000000000182</v>
      </c>
    </row>
    <row r="22" spans="1:4" s="39" customFormat="1" ht="14.25" customHeight="1" x14ac:dyDescent="0.2">
      <c r="A22" s="102"/>
      <c r="B22" s="140"/>
      <c r="C22" s="111"/>
      <c r="D22" s="112"/>
    </row>
    <row r="23" spans="1:4" s="39" customFormat="1" ht="33" customHeight="1" x14ac:dyDescent="0.2">
      <c r="A23" s="41" t="s">
        <v>1425</v>
      </c>
      <c r="B23" s="253" t="s">
        <v>228</v>
      </c>
      <c r="C23" s="254"/>
      <c r="D23" s="255"/>
    </row>
    <row r="24" spans="1:4" s="43" customFormat="1" ht="14.25" customHeight="1" x14ac:dyDescent="0.2">
      <c r="A24" s="44" t="s">
        <v>821</v>
      </c>
      <c r="B24" s="45" t="s">
        <v>824</v>
      </c>
      <c r="C24" s="45" t="s">
        <v>823</v>
      </c>
      <c r="D24" s="47" t="s">
        <v>822</v>
      </c>
    </row>
    <row r="25" spans="1:4" s="43" customFormat="1" ht="15.75" customHeight="1" x14ac:dyDescent="0.2">
      <c r="A25" s="81" t="s">
        <v>1426</v>
      </c>
      <c r="B25" s="50">
        <v>125</v>
      </c>
      <c r="C25" s="50">
        <v>0.5</v>
      </c>
      <c r="D25" s="72">
        <f>B25*C25</f>
        <v>62.5</v>
      </c>
    </row>
    <row r="26" spans="1:4" s="43" customFormat="1" ht="15.75" customHeight="1" x14ac:dyDescent="0.2">
      <c r="A26" s="81" t="s">
        <v>1427</v>
      </c>
      <c r="B26" s="50">
        <v>12.9</v>
      </c>
      <c r="C26" s="50">
        <v>0.5</v>
      </c>
      <c r="D26" s="72">
        <f t="shared" ref="D26:D31" si="1">B26*C26</f>
        <v>6.45</v>
      </c>
    </row>
    <row r="27" spans="1:4" s="43" customFormat="1" ht="15.75" customHeight="1" x14ac:dyDescent="0.2">
      <c r="A27" s="81" t="s">
        <v>1428</v>
      </c>
      <c r="B27" s="50">
        <v>59</v>
      </c>
      <c r="C27" s="50">
        <v>0.5</v>
      </c>
      <c r="D27" s="72">
        <f t="shared" si="1"/>
        <v>29.5</v>
      </c>
    </row>
    <row r="28" spans="1:4" s="43" customFormat="1" ht="15.75" customHeight="1" x14ac:dyDescent="0.2">
      <c r="A28" s="81" t="s">
        <v>1091</v>
      </c>
      <c r="B28" s="50">
        <v>1.3</v>
      </c>
      <c r="C28" s="50">
        <v>0.5</v>
      </c>
      <c r="D28" s="72">
        <f t="shared" si="1"/>
        <v>0.65</v>
      </c>
    </row>
    <row r="29" spans="1:4" s="43" customFormat="1" ht="13.5" customHeight="1" x14ac:dyDescent="0.2">
      <c r="A29" s="81" t="s">
        <v>1285</v>
      </c>
      <c r="B29" s="50">
        <v>3.5</v>
      </c>
      <c r="C29" s="50">
        <v>0.5</v>
      </c>
      <c r="D29" s="72">
        <f t="shared" si="1"/>
        <v>1.75</v>
      </c>
    </row>
    <row r="30" spans="1:4" s="43" customFormat="1" ht="13.5" customHeight="1" x14ac:dyDescent="0.2">
      <c r="A30" s="270" t="s">
        <v>1429</v>
      </c>
      <c r="B30" s="50">
        <v>101.24</v>
      </c>
      <c r="C30" s="50">
        <v>1.5</v>
      </c>
      <c r="D30" s="72">
        <f t="shared" si="1"/>
        <v>151.85999999999999</v>
      </c>
    </row>
    <row r="31" spans="1:4" s="43" customFormat="1" ht="13.5" customHeight="1" x14ac:dyDescent="0.2">
      <c r="A31" s="272"/>
      <c r="B31" s="50">
        <v>13.75</v>
      </c>
      <c r="C31" s="50">
        <v>1</v>
      </c>
      <c r="D31" s="72">
        <f t="shared" si="1"/>
        <v>13.75</v>
      </c>
    </row>
    <row r="32" spans="1:4" s="43" customFormat="1" ht="13.5" customHeight="1" x14ac:dyDescent="0.2">
      <c r="A32" s="81"/>
      <c r="B32" s="50"/>
      <c r="C32" s="50"/>
      <c r="D32" s="72"/>
    </row>
    <row r="33" spans="1:4" s="49" customFormat="1" ht="27" customHeight="1" x14ac:dyDescent="0.2">
      <c r="A33" s="248" t="s">
        <v>1433</v>
      </c>
      <c r="B33" s="249"/>
      <c r="C33" s="249"/>
      <c r="D33" s="132">
        <f>SUM(D25:D31)</f>
        <v>266.45999999999998</v>
      </c>
    </row>
    <row r="34" spans="1:4" s="49" customFormat="1" ht="25.5" customHeight="1" x14ac:dyDescent="0.2">
      <c r="A34" s="248" t="s">
        <v>1430</v>
      </c>
      <c r="B34" s="249"/>
      <c r="C34" s="249"/>
      <c r="D34" s="162">
        <v>266.45999999999998</v>
      </c>
    </row>
    <row r="35" spans="1:4" s="39" customFormat="1" ht="25.5" customHeight="1" x14ac:dyDescent="0.2">
      <c r="A35" s="305" t="s">
        <v>1435</v>
      </c>
      <c r="B35" s="306"/>
      <c r="C35" s="306"/>
      <c r="D35" s="163">
        <v>62.5</v>
      </c>
    </row>
    <row r="36" spans="1:4" s="39" customFormat="1" ht="25.5" customHeight="1" x14ac:dyDescent="0.2">
      <c r="A36" s="307" t="s">
        <v>1434</v>
      </c>
      <c r="B36" s="308"/>
      <c r="C36" s="308"/>
      <c r="D36" s="133">
        <f>D33-D35</f>
        <v>203.95999999999998</v>
      </c>
    </row>
    <row r="37" spans="1:4" ht="14.25" customHeight="1" x14ac:dyDescent="0.2">
      <c r="A37" s="285"/>
      <c r="B37" s="286"/>
      <c r="C37" s="48"/>
      <c r="D37" s="164"/>
    </row>
    <row r="38" spans="1:4" s="39" customFormat="1" ht="42" customHeight="1" x14ac:dyDescent="0.2">
      <c r="A38" s="41" t="s">
        <v>1438</v>
      </c>
      <c r="B38" s="235" t="s">
        <v>230</v>
      </c>
      <c r="C38" s="235"/>
      <c r="D38" s="235"/>
    </row>
    <row r="39" spans="1:4" s="49" customFormat="1" ht="16.5" customHeight="1" x14ac:dyDescent="0.2">
      <c r="A39" s="296" t="s">
        <v>821</v>
      </c>
      <c r="B39" s="297"/>
      <c r="C39" s="80" t="s">
        <v>878</v>
      </c>
      <c r="D39" s="165" t="s">
        <v>822</v>
      </c>
    </row>
    <row r="40" spans="1:4" s="49" customFormat="1" ht="16.5" customHeight="1" x14ac:dyDescent="0.2">
      <c r="A40" s="309" t="s">
        <v>1081</v>
      </c>
      <c r="B40" s="74" t="s">
        <v>876</v>
      </c>
      <c r="C40" s="83">
        <v>1</v>
      </c>
      <c r="D40" s="166">
        <f>3+(6.1*0.3)</f>
        <v>4.83</v>
      </c>
    </row>
    <row r="41" spans="1:4" s="49" customFormat="1" ht="16.5" customHeight="1" x14ac:dyDescent="0.2">
      <c r="A41" s="310"/>
      <c r="B41" s="74" t="s">
        <v>877</v>
      </c>
      <c r="C41" s="83">
        <v>1</v>
      </c>
      <c r="D41" s="166">
        <f>3+(6.1*0.3)</f>
        <v>4.83</v>
      </c>
    </row>
    <row r="42" spans="1:4" s="49" customFormat="1" ht="16.5" customHeight="1" x14ac:dyDescent="0.2">
      <c r="A42" s="310"/>
      <c r="B42" s="74" t="s">
        <v>875</v>
      </c>
      <c r="C42" s="83">
        <v>1</v>
      </c>
      <c r="D42" s="166">
        <f>(13.2*0.3)+10.78</f>
        <v>14.739999999999998</v>
      </c>
    </row>
    <row r="43" spans="1:4" s="49" customFormat="1" ht="16.5" customHeight="1" x14ac:dyDescent="0.2">
      <c r="A43" s="310"/>
      <c r="B43" s="74" t="s">
        <v>1163</v>
      </c>
      <c r="C43" s="83">
        <v>2</v>
      </c>
      <c r="D43" s="166">
        <f>12.72*C43</f>
        <v>25.44</v>
      </c>
    </row>
    <row r="44" spans="1:4" s="49" customFormat="1" ht="16.5" customHeight="1" x14ac:dyDescent="0.2">
      <c r="A44" s="310"/>
      <c r="B44" s="74" t="s">
        <v>917</v>
      </c>
      <c r="C44" s="83">
        <v>1</v>
      </c>
      <c r="D44" s="166">
        <v>170.5</v>
      </c>
    </row>
    <row r="45" spans="1:4" s="49" customFormat="1" ht="16.5" customHeight="1" x14ac:dyDescent="0.2">
      <c r="A45" s="311"/>
      <c r="B45" s="74" t="s">
        <v>980</v>
      </c>
      <c r="C45" s="83">
        <v>1</v>
      </c>
      <c r="D45" s="166">
        <v>196.59</v>
      </c>
    </row>
    <row r="46" spans="1:4" s="49" customFormat="1" ht="16.5" customHeight="1" x14ac:dyDescent="0.2">
      <c r="A46" s="312" t="s">
        <v>1439</v>
      </c>
      <c r="B46" s="74" t="s">
        <v>876</v>
      </c>
      <c r="C46" s="83">
        <v>1</v>
      </c>
      <c r="D46" s="166">
        <f>3+(6.1*0.3)</f>
        <v>4.83</v>
      </c>
    </row>
    <row r="47" spans="1:4" s="49" customFormat="1" ht="16.5" customHeight="1" x14ac:dyDescent="0.2">
      <c r="A47" s="312"/>
      <c r="B47" s="74" t="s">
        <v>877</v>
      </c>
      <c r="C47" s="83">
        <v>1</v>
      </c>
      <c r="D47" s="166">
        <f>3+(6.1*0.3)</f>
        <v>4.83</v>
      </c>
    </row>
    <row r="48" spans="1:4" s="49" customFormat="1" ht="16.5" customHeight="1" x14ac:dyDescent="0.2">
      <c r="A48" s="312"/>
      <c r="B48" s="74" t="s">
        <v>875</v>
      </c>
      <c r="C48" s="83">
        <v>1</v>
      </c>
      <c r="D48" s="166">
        <f>5.12+(7.4*0.3)</f>
        <v>7.34</v>
      </c>
    </row>
    <row r="49" spans="1:4" s="49" customFormat="1" ht="16.5" customHeight="1" x14ac:dyDescent="0.2">
      <c r="A49" s="309" t="s">
        <v>905</v>
      </c>
      <c r="B49" s="74" t="s">
        <v>876</v>
      </c>
      <c r="C49" s="83">
        <v>1</v>
      </c>
      <c r="D49" s="167">
        <f>3.15+(6.3*0.3)</f>
        <v>5.04</v>
      </c>
    </row>
    <row r="50" spans="1:4" s="49" customFormat="1" ht="16.5" customHeight="1" x14ac:dyDescent="0.2">
      <c r="A50" s="310"/>
      <c r="B50" s="74" t="s">
        <v>877</v>
      </c>
      <c r="C50" s="83">
        <v>1</v>
      </c>
      <c r="D50" s="167">
        <f>3.15+(6.3*0.3)</f>
        <v>5.04</v>
      </c>
    </row>
    <row r="51" spans="1:4" s="49" customFormat="1" ht="16.5" customHeight="1" x14ac:dyDescent="0.2">
      <c r="A51" s="310"/>
      <c r="B51" s="74" t="s">
        <v>903</v>
      </c>
      <c r="C51" s="83">
        <v>1</v>
      </c>
      <c r="D51" s="167">
        <f>3.68+(6.8*0.3)</f>
        <v>5.7200000000000006</v>
      </c>
    </row>
    <row r="52" spans="1:4" s="49" customFormat="1" ht="16.5" customHeight="1" x14ac:dyDescent="0.2">
      <c r="A52" s="310"/>
      <c r="B52" s="74" t="s">
        <v>912</v>
      </c>
      <c r="C52" s="83">
        <v>1</v>
      </c>
      <c r="D52" s="167">
        <f>1.61+(5.1*0.3)</f>
        <v>3.1399999999999997</v>
      </c>
    </row>
    <row r="53" spans="1:4" s="49" customFormat="1" ht="16.5" customHeight="1" x14ac:dyDescent="0.2">
      <c r="A53" s="309" t="s">
        <v>909</v>
      </c>
      <c r="B53" s="74" t="s">
        <v>876</v>
      </c>
      <c r="C53" s="83">
        <v>1</v>
      </c>
      <c r="D53" s="167">
        <f>3.15+(6.3*0.3)</f>
        <v>5.04</v>
      </c>
    </row>
    <row r="54" spans="1:4" s="49" customFormat="1" ht="16.5" customHeight="1" x14ac:dyDescent="0.2">
      <c r="A54" s="310"/>
      <c r="B54" s="74" t="s">
        <v>877</v>
      </c>
      <c r="C54" s="83">
        <v>1</v>
      </c>
      <c r="D54" s="167">
        <f>3.15+(6.3*0.3)</f>
        <v>5.04</v>
      </c>
    </row>
    <row r="55" spans="1:4" s="49" customFormat="1" ht="16.5" customHeight="1" x14ac:dyDescent="0.2">
      <c r="A55" s="310"/>
      <c r="B55" s="74" t="s">
        <v>903</v>
      </c>
      <c r="C55" s="83">
        <v>1</v>
      </c>
      <c r="D55" s="167">
        <f>3.68+(6.8*0.3)</f>
        <v>5.7200000000000006</v>
      </c>
    </row>
    <row r="56" spans="1:4" s="49" customFormat="1" ht="16.5" customHeight="1" x14ac:dyDescent="0.2">
      <c r="A56" s="310"/>
      <c r="B56" s="74" t="s">
        <v>912</v>
      </c>
      <c r="C56" s="83">
        <v>1</v>
      </c>
      <c r="D56" s="167">
        <f>1.61+(5.1*0.3)</f>
        <v>3.1399999999999997</v>
      </c>
    </row>
    <row r="57" spans="1:4" s="49" customFormat="1" ht="16.5" customHeight="1" x14ac:dyDescent="0.2">
      <c r="A57" s="309" t="s">
        <v>910</v>
      </c>
      <c r="B57" s="74" t="s">
        <v>876</v>
      </c>
      <c r="C57" s="83">
        <v>1</v>
      </c>
      <c r="D57" s="167">
        <f>3.15+(6.3*0.3)</f>
        <v>5.04</v>
      </c>
    </row>
    <row r="58" spans="1:4" s="49" customFormat="1" ht="16.5" customHeight="1" x14ac:dyDescent="0.2">
      <c r="A58" s="310"/>
      <c r="B58" s="74" t="s">
        <v>877</v>
      </c>
      <c r="C58" s="83">
        <v>1</v>
      </c>
      <c r="D58" s="167">
        <f>3.15+(6.3*0.3)</f>
        <v>5.04</v>
      </c>
    </row>
    <row r="59" spans="1:4" s="49" customFormat="1" ht="16.5" customHeight="1" x14ac:dyDescent="0.2">
      <c r="A59" s="310"/>
      <c r="B59" s="74" t="s">
        <v>903</v>
      </c>
      <c r="C59" s="83">
        <v>1</v>
      </c>
      <c r="D59" s="167">
        <f>3.68+(6.8*0.3)</f>
        <v>5.7200000000000006</v>
      </c>
    </row>
    <row r="60" spans="1:4" s="49" customFormat="1" ht="16.5" customHeight="1" x14ac:dyDescent="0.2">
      <c r="A60" s="310"/>
      <c r="B60" s="74" t="s">
        <v>912</v>
      </c>
      <c r="C60" s="83">
        <v>1</v>
      </c>
      <c r="D60" s="167">
        <f>1.61+(5.1*0.3)</f>
        <v>3.1399999999999997</v>
      </c>
    </row>
    <row r="61" spans="1:4" s="49" customFormat="1" ht="16.5" customHeight="1" x14ac:dyDescent="0.2">
      <c r="A61" s="309" t="s">
        <v>956</v>
      </c>
      <c r="B61" s="74" t="s">
        <v>876</v>
      </c>
      <c r="C61" s="83">
        <v>1</v>
      </c>
      <c r="D61" s="167">
        <f>3.15+(6.3*0.3)</f>
        <v>5.04</v>
      </c>
    </row>
    <row r="62" spans="1:4" s="49" customFormat="1" ht="16.5" customHeight="1" x14ac:dyDescent="0.2">
      <c r="A62" s="310"/>
      <c r="B62" s="74" t="s">
        <v>877</v>
      </c>
      <c r="C62" s="83">
        <v>1</v>
      </c>
      <c r="D62" s="167">
        <f>3.15+(6.3*0.3)</f>
        <v>5.04</v>
      </c>
    </row>
    <row r="63" spans="1:4" s="49" customFormat="1" ht="16.5" customHeight="1" x14ac:dyDescent="0.2">
      <c r="A63" s="310"/>
      <c r="B63" s="74" t="s">
        <v>903</v>
      </c>
      <c r="C63" s="83">
        <v>1</v>
      </c>
      <c r="D63" s="167">
        <f>3.68+(6.8*0.3)</f>
        <v>5.7200000000000006</v>
      </c>
    </row>
    <row r="64" spans="1:4" s="49" customFormat="1" ht="16.5" customHeight="1" x14ac:dyDescent="0.2">
      <c r="A64" s="309" t="s">
        <v>1442</v>
      </c>
      <c r="B64" s="74"/>
      <c r="C64" s="83">
        <v>3</v>
      </c>
      <c r="D64" s="167">
        <f>(3.05+(7*1.5))*3</f>
        <v>40.650000000000006</v>
      </c>
    </row>
    <row r="65" spans="1:4" s="49" customFormat="1" ht="16.5" customHeight="1" x14ac:dyDescent="0.2">
      <c r="A65" s="311"/>
      <c r="B65" s="74"/>
      <c r="C65" s="83">
        <v>1</v>
      </c>
      <c r="D65" s="167">
        <f>5.78+(9.84*1.5)</f>
        <v>20.54</v>
      </c>
    </row>
    <row r="66" spans="1:4" s="49" customFormat="1" ht="16.5" customHeight="1" x14ac:dyDescent="0.2">
      <c r="A66" s="104"/>
      <c r="B66" s="74"/>
      <c r="C66" s="83"/>
      <c r="D66" s="167"/>
    </row>
    <row r="67" spans="1:4" s="49" customFormat="1" ht="25.5" customHeight="1" x14ac:dyDescent="0.2">
      <c r="A67" s="237" t="s">
        <v>1440</v>
      </c>
      <c r="B67" s="238"/>
      <c r="C67" s="238"/>
      <c r="D67" s="132">
        <f>SUM(D40:D65)</f>
        <v>567.74000000000012</v>
      </c>
    </row>
    <row r="68" spans="1:4" s="49" customFormat="1" ht="16.5" customHeight="1" x14ac:dyDescent="0.2">
      <c r="A68" s="237" t="s">
        <v>1441</v>
      </c>
      <c r="B68" s="238"/>
      <c r="C68" s="238"/>
      <c r="D68" s="162">
        <v>675.21</v>
      </c>
    </row>
    <row r="69" spans="1:4" s="39" customFormat="1" ht="14.25" customHeight="1" x14ac:dyDescent="0.2">
      <c r="A69" s="237" t="s">
        <v>1443</v>
      </c>
      <c r="B69" s="238"/>
      <c r="C69" s="238"/>
      <c r="D69" s="162">
        <v>481.11</v>
      </c>
    </row>
    <row r="70" spans="1:4" s="39" customFormat="1" ht="16.5" customHeight="1" x14ac:dyDescent="0.2">
      <c r="A70" s="239" t="s">
        <v>1444</v>
      </c>
      <c r="B70" s="240"/>
      <c r="C70" s="240"/>
      <c r="D70" s="133">
        <f>D67-D69</f>
        <v>86.630000000000109</v>
      </c>
    </row>
    <row r="71" spans="1:4" ht="14.25" customHeight="1" x14ac:dyDescent="0.2">
      <c r="A71" s="303"/>
      <c r="B71" s="304"/>
      <c r="C71" s="78"/>
      <c r="D71" s="168"/>
    </row>
    <row r="72" spans="1:4" s="39" customFormat="1" ht="35.25" customHeight="1" x14ac:dyDescent="0.2">
      <c r="A72" s="41" t="s">
        <v>1164</v>
      </c>
      <c r="B72" s="235" t="s">
        <v>234</v>
      </c>
      <c r="C72" s="235"/>
      <c r="D72" s="235"/>
    </row>
    <row r="73" spans="1:4" s="49" customFormat="1" ht="16.5" customHeight="1" x14ac:dyDescent="0.2">
      <c r="A73" s="296" t="s">
        <v>821</v>
      </c>
      <c r="B73" s="297"/>
      <c r="C73" s="80"/>
      <c r="D73" s="165" t="s">
        <v>822</v>
      </c>
    </row>
    <row r="74" spans="1:4" s="49" customFormat="1" ht="16.5" customHeight="1" x14ac:dyDescent="0.2">
      <c r="A74" s="160" t="s">
        <v>1445</v>
      </c>
      <c r="B74" s="74"/>
      <c r="C74" s="83"/>
      <c r="D74" s="166">
        <v>47.1</v>
      </c>
    </row>
    <row r="75" spans="1:4" s="49" customFormat="1" ht="16.5" customHeight="1" x14ac:dyDescent="0.2">
      <c r="A75" s="161"/>
      <c r="B75" s="74"/>
      <c r="C75" s="83"/>
      <c r="D75" s="166"/>
    </row>
    <row r="76" spans="1:4" s="49" customFormat="1" ht="16.5" customHeight="1" x14ac:dyDescent="0.2">
      <c r="A76" s="237" t="s">
        <v>1165</v>
      </c>
      <c r="B76" s="238"/>
      <c r="C76" s="238"/>
      <c r="D76" s="132">
        <f>D74</f>
        <v>47.1</v>
      </c>
    </row>
    <row r="77" spans="1:4" s="49" customFormat="1" ht="16.5" customHeight="1" x14ac:dyDescent="0.2">
      <c r="A77" s="237" t="s">
        <v>1166</v>
      </c>
      <c r="B77" s="238"/>
      <c r="C77" s="238"/>
      <c r="D77" s="132">
        <v>47.1</v>
      </c>
    </row>
    <row r="78" spans="1:4" s="39" customFormat="1" ht="14.25" customHeight="1" x14ac:dyDescent="0.2">
      <c r="A78" s="237" t="s">
        <v>1446</v>
      </c>
      <c r="B78" s="238"/>
      <c r="C78" s="238"/>
      <c r="D78" s="132">
        <v>23.55</v>
      </c>
    </row>
    <row r="79" spans="1:4" s="39" customFormat="1" ht="16.5" customHeight="1" x14ac:dyDescent="0.2">
      <c r="A79" s="239" t="s">
        <v>1447</v>
      </c>
      <c r="B79" s="240"/>
      <c r="C79" s="240"/>
      <c r="D79" s="133">
        <f>D76-D78</f>
        <v>23.55</v>
      </c>
    </row>
    <row r="80" spans="1:4" ht="14.25" customHeight="1" x14ac:dyDescent="0.2">
      <c r="A80" s="303"/>
      <c r="B80" s="304"/>
      <c r="C80" s="78"/>
      <c r="D80" s="168"/>
    </row>
    <row r="81" spans="1:4" s="39" customFormat="1" ht="42" customHeight="1" x14ac:dyDescent="0.2">
      <c r="A81" s="41" t="s">
        <v>967</v>
      </c>
      <c r="B81" s="235" t="s">
        <v>236</v>
      </c>
      <c r="C81" s="235"/>
      <c r="D81" s="235"/>
    </row>
    <row r="82" spans="1:4" s="49" customFormat="1" ht="16.5" customHeight="1" x14ac:dyDescent="0.2">
      <c r="A82" s="313" t="s">
        <v>1450</v>
      </c>
      <c r="B82" s="314"/>
      <c r="C82" s="314"/>
      <c r="D82" s="166">
        <f>D18*2</f>
        <v>2365.34</v>
      </c>
    </row>
    <row r="83" spans="1:4" s="49" customFormat="1" ht="16.5" customHeight="1" x14ac:dyDescent="0.2">
      <c r="A83" s="73"/>
      <c r="B83" s="80"/>
      <c r="C83" s="80"/>
      <c r="D83" s="167"/>
    </row>
    <row r="84" spans="1:4" s="49" customFormat="1" ht="16.5" customHeight="1" x14ac:dyDescent="0.2">
      <c r="A84" s="237" t="s">
        <v>883</v>
      </c>
      <c r="B84" s="238"/>
      <c r="C84" s="238"/>
      <c r="D84" s="132">
        <f>D82</f>
        <v>2365.34</v>
      </c>
    </row>
    <row r="85" spans="1:4" s="49" customFormat="1" ht="16.5" customHeight="1" x14ac:dyDescent="0.2">
      <c r="A85" s="237" t="s">
        <v>884</v>
      </c>
      <c r="B85" s="238"/>
      <c r="C85" s="238"/>
      <c r="D85" s="162">
        <v>2177.6799999999998</v>
      </c>
    </row>
    <row r="86" spans="1:4" s="39" customFormat="1" ht="14.25" customHeight="1" x14ac:dyDescent="0.2">
      <c r="A86" s="237" t="s">
        <v>1448</v>
      </c>
      <c r="B86" s="238"/>
      <c r="C86" s="238"/>
      <c r="D86" s="162">
        <v>1634.18</v>
      </c>
    </row>
    <row r="87" spans="1:4" s="39" customFormat="1" ht="16.5" customHeight="1" x14ac:dyDescent="0.2">
      <c r="A87" s="239" t="s">
        <v>1449</v>
      </c>
      <c r="B87" s="240"/>
      <c r="C87" s="240"/>
      <c r="D87" s="133">
        <f>D85-D86</f>
        <v>543.49999999999977</v>
      </c>
    </row>
    <row r="88" spans="1:4" s="39" customFormat="1" ht="16.5" customHeight="1" x14ac:dyDescent="0.2">
      <c r="A88" s="315" t="s">
        <v>1451</v>
      </c>
      <c r="B88" s="316"/>
      <c r="C88" s="316"/>
      <c r="D88" s="169">
        <f>D85-D84</f>
        <v>-187.66000000000031</v>
      </c>
    </row>
    <row r="89" spans="1:4" ht="14.25" customHeight="1" x14ac:dyDescent="0.2">
      <c r="A89" s="280"/>
      <c r="B89" s="281"/>
      <c r="C89" s="90"/>
      <c r="D89" s="90"/>
    </row>
  </sheetData>
  <mergeCells count="44">
    <mergeCell ref="A89:B89"/>
    <mergeCell ref="A84:C84"/>
    <mergeCell ref="A85:C85"/>
    <mergeCell ref="A86:C86"/>
    <mergeCell ref="A87:C87"/>
    <mergeCell ref="A88:C88"/>
    <mergeCell ref="B81:D81"/>
    <mergeCell ref="A82:C82"/>
    <mergeCell ref="A80:B80"/>
    <mergeCell ref="A76:C76"/>
    <mergeCell ref="A77:C77"/>
    <mergeCell ref="A78:C78"/>
    <mergeCell ref="A79:C79"/>
    <mergeCell ref="A64:A65"/>
    <mergeCell ref="B72:D72"/>
    <mergeCell ref="A73:B73"/>
    <mergeCell ref="A71:B71"/>
    <mergeCell ref="A67:C67"/>
    <mergeCell ref="A68:C68"/>
    <mergeCell ref="A69:C69"/>
    <mergeCell ref="A70:C70"/>
    <mergeCell ref="A57:A60"/>
    <mergeCell ref="A61:A63"/>
    <mergeCell ref="A39:B39"/>
    <mergeCell ref="A40:A45"/>
    <mergeCell ref="A46:A48"/>
    <mergeCell ref="A49:A52"/>
    <mergeCell ref="A53:A56"/>
    <mergeCell ref="A35:C35"/>
    <mergeCell ref="A37:B37"/>
    <mergeCell ref="A20:C20"/>
    <mergeCell ref="A36:C36"/>
    <mergeCell ref="B38:D38"/>
    <mergeCell ref="A34:C34"/>
    <mergeCell ref="A6:D6"/>
    <mergeCell ref="B8:D8"/>
    <mergeCell ref="A9:B9"/>
    <mergeCell ref="B10:D10"/>
    <mergeCell ref="A18:C18"/>
    <mergeCell ref="A19:C19"/>
    <mergeCell ref="A21:C21"/>
    <mergeCell ref="B23:D23"/>
    <mergeCell ref="A30:A31"/>
    <mergeCell ref="A33:C33"/>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7E84-BEEB-4BAC-BBFC-6E8D5F69D710}">
  <sheetPr>
    <tabColor theme="9" tint="-0.499984740745262"/>
  </sheetPr>
  <dimension ref="A1:E194"/>
  <sheetViews>
    <sheetView view="pageBreakPreview" topLeftCell="A159" zoomScale="90" zoomScaleNormal="95" zoomScaleSheetLayoutView="90" workbookViewId="0">
      <selection activeCell="F159" sqref="F1:F1048576"/>
    </sheetView>
  </sheetViews>
  <sheetFormatPr defaultColWidth="9" defaultRowHeight="12.75" x14ac:dyDescent="0.2"/>
  <cols>
    <col min="1" max="1" width="19.5" style="31" customWidth="1"/>
    <col min="2" max="2" width="14" style="31" customWidth="1"/>
    <col min="3" max="3" width="19" style="31" customWidth="1"/>
    <col min="4" max="4" width="17.25" style="31" customWidth="1"/>
    <col min="5" max="5" width="15" style="38" customWidth="1"/>
    <col min="6" max="16384" width="9" style="29"/>
  </cols>
  <sheetData>
    <row r="1" spans="1:5" x14ac:dyDescent="0.2">
      <c r="A1" s="26"/>
      <c r="B1" s="27"/>
      <c r="C1" s="27"/>
      <c r="D1" s="27"/>
      <c r="E1" s="28"/>
    </row>
    <row r="2" spans="1:5" x14ac:dyDescent="0.2">
      <c r="A2" s="30"/>
      <c r="E2" s="32"/>
    </row>
    <row r="3" spans="1:5" x14ac:dyDescent="0.2">
      <c r="A3" s="30"/>
      <c r="E3" s="32"/>
    </row>
    <row r="4" spans="1:5" x14ac:dyDescent="0.2">
      <c r="A4" s="30"/>
      <c r="E4" s="32"/>
    </row>
    <row r="5" spans="1:5" x14ac:dyDescent="0.2">
      <c r="A5" s="33"/>
      <c r="B5" s="34"/>
      <c r="C5" s="35"/>
      <c r="D5" s="35"/>
      <c r="E5" s="36"/>
    </row>
    <row r="6" spans="1:5" x14ac:dyDescent="0.2">
      <c r="A6" s="33" t="s">
        <v>820</v>
      </c>
      <c r="B6" s="34"/>
      <c r="C6" s="35"/>
      <c r="D6" s="35"/>
      <c r="E6" s="36"/>
    </row>
    <row r="7" spans="1:5" x14ac:dyDescent="0.2">
      <c r="A7" s="33" t="s">
        <v>2</v>
      </c>
      <c r="B7" s="34"/>
      <c r="C7" s="35"/>
      <c r="D7" s="35"/>
      <c r="E7" s="36"/>
    </row>
    <row r="8" spans="1:5" x14ac:dyDescent="0.2">
      <c r="A8" s="33" t="s">
        <v>1348</v>
      </c>
      <c r="B8" s="34"/>
      <c r="C8" s="35"/>
      <c r="D8" s="35"/>
      <c r="E8" s="36"/>
    </row>
    <row r="9" spans="1:5" ht="13.5" thickBot="1" x14ac:dyDescent="0.25">
      <c r="A9" s="33"/>
      <c r="B9" s="34"/>
      <c r="C9" s="35"/>
      <c r="D9" s="35"/>
      <c r="E9" s="36"/>
    </row>
    <row r="10" spans="1:5" s="39" customFormat="1" ht="21" customHeight="1" thickBot="1" x14ac:dyDescent="0.25">
      <c r="A10" s="250" t="s">
        <v>1352</v>
      </c>
      <c r="B10" s="251"/>
      <c r="C10" s="251"/>
      <c r="D10" s="251"/>
      <c r="E10" s="252"/>
    </row>
    <row r="11" spans="1:5" x14ac:dyDescent="0.2">
      <c r="A11" s="30"/>
      <c r="E11" s="32"/>
    </row>
    <row r="12" spans="1:5" ht="17.25" customHeight="1" x14ac:dyDescent="0.2">
      <c r="A12" s="40" t="s">
        <v>881</v>
      </c>
      <c r="B12" s="234" t="s">
        <v>238</v>
      </c>
      <c r="C12" s="234"/>
      <c r="D12" s="234"/>
      <c r="E12" s="234"/>
    </row>
    <row r="13" spans="1:5" s="39" customFormat="1" ht="39.75" hidden="1" customHeight="1" x14ac:dyDescent="0.2">
      <c r="A13" s="41" t="s">
        <v>1053</v>
      </c>
      <c r="B13" s="235" t="s">
        <v>240</v>
      </c>
      <c r="C13" s="235"/>
      <c r="D13" s="235"/>
      <c r="E13" s="235"/>
    </row>
    <row r="14" spans="1:5" ht="14.25" hidden="1" customHeight="1" x14ac:dyDescent="0.2">
      <c r="A14" s="110"/>
      <c r="B14" s="109"/>
      <c r="C14" s="88"/>
      <c r="D14" s="88"/>
      <c r="E14" s="131" t="s">
        <v>898</v>
      </c>
    </row>
    <row r="15" spans="1:5" ht="14.25" hidden="1" customHeight="1" x14ac:dyDescent="0.2">
      <c r="A15" s="110" t="s">
        <v>1455</v>
      </c>
      <c r="B15" s="109"/>
      <c r="C15" s="88"/>
      <c r="D15" s="88"/>
      <c r="E15" s="58">
        <v>1782.01</v>
      </c>
    </row>
    <row r="16" spans="1:5" s="39" customFormat="1" ht="14.25" hidden="1" customHeight="1" x14ac:dyDescent="0.2">
      <c r="A16" s="283"/>
      <c r="B16" s="289"/>
      <c r="C16" s="111"/>
      <c r="D16" s="111"/>
      <c r="E16" s="112"/>
    </row>
    <row r="17" spans="1:5" ht="14.25" hidden="1" customHeight="1" x14ac:dyDescent="0.2">
      <c r="A17" s="228" t="s">
        <v>1456</v>
      </c>
      <c r="B17" s="229"/>
      <c r="C17" s="229"/>
      <c r="D17" s="229"/>
      <c r="E17" s="58">
        <f>E15</f>
        <v>1782.01</v>
      </c>
    </row>
    <row r="18" spans="1:5" ht="14.25" hidden="1" customHeight="1" x14ac:dyDescent="0.2">
      <c r="A18" s="228" t="s">
        <v>1457</v>
      </c>
      <c r="B18" s="229"/>
      <c r="C18" s="229"/>
      <c r="D18" s="229"/>
      <c r="E18" s="58">
        <v>2970.02</v>
      </c>
    </row>
    <row r="19" spans="1:5" ht="14.25" hidden="1" customHeight="1" x14ac:dyDescent="0.2">
      <c r="A19" s="230" t="s">
        <v>1458</v>
      </c>
      <c r="B19" s="231"/>
      <c r="C19" s="231"/>
      <c r="D19" s="231"/>
      <c r="E19" s="65">
        <v>1188.01</v>
      </c>
    </row>
    <row r="20" spans="1:5" ht="14.25" hidden="1" customHeight="1" x14ac:dyDescent="0.2">
      <c r="A20" s="241" t="s">
        <v>1459</v>
      </c>
      <c r="B20" s="242"/>
      <c r="C20" s="242"/>
      <c r="D20" s="242"/>
      <c r="E20" s="59">
        <f>E17-E19</f>
        <v>594</v>
      </c>
    </row>
    <row r="21" spans="1:5" ht="14.25" hidden="1" customHeight="1" x14ac:dyDescent="0.2">
      <c r="A21" s="230"/>
      <c r="B21" s="231"/>
      <c r="C21" s="231"/>
      <c r="D21" s="231"/>
      <c r="E21" s="65"/>
    </row>
    <row r="22" spans="1:5" s="39" customFormat="1" ht="30" hidden="1" customHeight="1" x14ac:dyDescent="0.2">
      <c r="A22" s="41" t="s">
        <v>1057</v>
      </c>
      <c r="B22" s="235" t="s">
        <v>244</v>
      </c>
      <c r="C22" s="235"/>
      <c r="D22" s="235"/>
      <c r="E22" s="235"/>
    </row>
    <row r="23" spans="1:5" ht="14.25" hidden="1" customHeight="1" x14ac:dyDescent="0.2">
      <c r="A23" s="267" t="s">
        <v>821</v>
      </c>
      <c r="B23" s="268"/>
      <c r="C23" s="268" t="s">
        <v>822</v>
      </c>
      <c r="D23" s="268"/>
      <c r="E23" s="108" t="s">
        <v>1464</v>
      </c>
    </row>
    <row r="24" spans="1:5" s="39" customFormat="1" ht="29.25" hidden="1" customHeight="1" x14ac:dyDescent="0.2">
      <c r="A24" s="317" t="s">
        <v>1465</v>
      </c>
      <c r="B24" s="318"/>
      <c r="C24" s="319">
        <v>57.79</v>
      </c>
      <c r="D24" s="319"/>
      <c r="E24" s="112">
        <f>C24</f>
        <v>57.79</v>
      </c>
    </row>
    <row r="25" spans="1:5" ht="14.25" hidden="1" customHeight="1" x14ac:dyDescent="0.2">
      <c r="A25" s="228" t="s">
        <v>1466</v>
      </c>
      <c r="B25" s="229"/>
      <c r="C25" s="229"/>
      <c r="D25" s="229"/>
      <c r="E25" s="58">
        <f>SUM(E24:E24)</f>
        <v>57.79</v>
      </c>
    </row>
    <row r="26" spans="1:5" ht="14.25" hidden="1" customHeight="1" x14ac:dyDescent="0.2">
      <c r="A26" s="228" t="s">
        <v>1059</v>
      </c>
      <c r="B26" s="229"/>
      <c r="C26" s="229"/>
      <c r="D26" s="229"/>
      <c r="E26" s="58">
        <v>115.57</v>
      </c>
    </row>
    <row r="27" spans="1:5" ht="14.25" hidden="1" customHeight="1" x14ac:dyDescent="0.2">
      <c r="A27" s="230" t="s">
        <v>1467</v>
      </c>
      <c r="B27" s="231"/>
      <c r="C27" s="231"/>
      <c r="D27" s="231"/>
      <c r="E27" s="65">
        <v>0</v>
      </c>
    </row>
    <row r="28" spans="1:5" ht="14.25" hidden="1" customHeight="1" x14ac:dyDescent="0.2">
      <c r="A28" s="241" t="s">
        <v>1468</v>
      </c>
      <c r="B28" s="242"/>
      <c r="C28" s="242"/>
      <c r="D28" s="242"/>
      <c r="E28" s="59">
        <f>E25</f>
        <v>57.79</v>
      </c>
    </row>
    <row r="29" spans="1:5" ht="14.25" hidden="1" customHeight="1" x14ac:dyDescent="0.2">
      <c r="A29" s="303"/>
      <c r="B29" s="304"/>
      <c r="C29" s="114"/>
      <c r="D29" s="114"/>
      <c r="E29" s="105"/>
    </row>
    <row r="30" spans="1:5" s="39" customFormat="1" ht="39.75" customHeight="1" x14ac:dyDescent="0.2">
      <c r="A30" s="41" t="s">
        <v>918</v>
      </c>
      <c r="B30" s="235" t="s">
        <v>242</v>
      </c>
      <c r="C30" s="235"/>
      <c r="D30" s="235"/>
      <c r="E30" s="235"/>
    </row>
    <row r="31" spans="1:5" ht="14.25" customHeight="1" x14ac:dyDescent="0.2">
      <c r="A31" s="267" t="s">
        <v>821</v>
      </c>
      <c r="B31" s="268"/>
      <c r="C31" s="45" t="s">
        <v>878</v>
      </c>
      <c r="D31" s="45" t="s">
        <v>822</v>
      </c>
      <c r="E31" s="108" t="s">
        <v>880</v>
      </c>
    </row>
    <row r="32" spans="1:5" ht="14.25" customHeight="1" x14ac:dyDescent="0.2">
      <c r="A32" s="331" t="s">
        <v>1081</v>
      </c>
      <c r="B32" s="332"/>
      <c r="C32" s="88"/>
      <c r="D32" s="88"/>
      <c r="E32" s="58"/>
    </row>
    <row r="33" spans="1:5" ht="14.25" customHeight="1" x14ac:dyDescent="0.2">
      <c r="A33" s="320" t="s">
        <v>1033</v>
      </c>
      <c r="B33" s="321"/>
      <c r="C33" s="88">
        <v>2</v>
      </c>
      <c r="D33" s="88">
        <v>3</v>
      </c>
      <c r="E33" s="58">
        <f>C33*D33</f>
        <v>6</v>
      </c>
    </row>
    <row r="34" spans="1:5" ht="14.25" customHeight="1" x14ac:dyDescent="0.2">
      <c r="A34" s="110" t="s">
        <v>875</v>
      </c>
      <c r="B34" s="109"/>
      <c r="C34" s="88">
        <v>1</v>
      </c>
      <c r="D34" s="88">
        <v>10.78</v>
      </c>
      <c r="E34" s="58">
        <f>C34*D34</f>
        <v>10.78</v>
      </c>
    </row>
    <row r="35" spans="1:5" ht="14.25" customHeight="1" x14ac:dyDescent="0.2">
      <c r="A35" s="320" t="s">
        <v>897</v>
      </c>
      <c r="B35" s="321"/>
      <c r="C35" s="88">
        <v>1</v>
      </c>
      <c r="D35" s="88">
        <v>2.4</v>
      </c>
      <c r="E35" s="58">
        <f>C35*D35</f>
        <v>2.4</v>
      </c>
    </row>
    <row r="36" spans="1:5" ht="14.25" customHeight="1" x14ac:dyDescent="0.2">
      <c r="A36" s="320" t="s">
        <v>1082</v>
      </c>
      <c r="B36" s="321"/>
      <c r="C36" s="88">
        <v>2</v>
      </c>
      <c r="D36" s="88">
        <v>9.1</v>
      </c>
      <c r="E36" s="58">
        <f>C36*D36</f>
        <v>18.2</v>
      </c>
    </row>
    <row r="37" spans="1:5" ht="14.25" customHeight="1" x14ac:dyDescent="0.2">
      <c r="A37" s="320" t="s">
        <v>1083</v>
      </c>
      <c r="B37" s="321"/>
      <c r="C37" s="88">
        <v>1</v>
      </c>
      <c r="D37" s="88">
        <f>2.85*1.2</f>
        <v>3.42</v>
      </c>
      <c r="E37" s="58">
        <f>C37*D37</f>
        <v>3.42</v>
      </c>
    </row>
    <row r="38" spans="1:5" ht="14.25" customHeight="1" x14ac:dyDescent="0.2">
      <c r="A38" s="155" t="s">
        <v>1032</v>
      </c>
      <c r="B38" s="109"/>
      <c r="C38" s="88"/>
      <c r="D38" s="88"/>
      <c r="E38" s="58"/>
    </row>
    <row r="39" spans="1:5" ht="14.25" customHeight="1" x14ac:dyDescent="0.2">
      <c r="A39" s="320" t="s">
        <v>1033</v>
      </c>
      <c r="B39" s="321"/>
      <c r="C39" s="88">
        <v>2</v>
      </c>
      <c r="D39" s="88">
        <v>3</v>
      </c>
      <c r="E39" s="58">
        <f t="shared" ref="E39:E44" si="0">C39*D39</f>
        <v>6</v>
      </c>
    </row>
    <row r="40" spans="1:5" ht="14.25" customHeight="1" x14ac:dyDescent="0.2">
      <c r="A40" s="110" t="s">
        <v>875</v>
      </c>
      <c r="B40" s="109"/>
      <c r="C40" s="88">
        <v>1</v>
      </c>
      <c r="D40" s="88">
        <v>5.9</v>
      </c>
      <c r="E40" s="58">
        <f t="shared" si="0"/>
        <v>5.9</v>
      </c>
    </row>
    <row r="41" spans="1:5" ht="14.25" customHeight="1" x14ac:dyDescent="0.2">
      <c r="A41" s="320" t="s">
        <v>897</v>
      </c>
      <c r="B41" s="321"/>
      <c r="C41" s="88">
        <v>1</v>
      </c>
      <c r="D41" s="88">
        <v>2.4</v>
      </c>
      <c r="E41" s="58">
        <f t="shared" si="0"/>
        <v>2.4</v>
      </c>
    </row>
    <row r="42" spans="1:5" ht="14.25" customHeight="1" x14ac:dyDescent="0.2">
      <c r="A42" s="320" t="s">
        <v>1512</v>
      </c>
      <c r="B42" s="321"/>
      <c r="C42" s="88">
        <v>2</v>
      </c>
      <c r="D42" s="88">
        <v>11.22</v>
      </c>
      <c r="E42" s="58">
        <f t="shared" si="0"/>
        <v>22.44</v>
      </c>
    </row>
    <row r="43" spans="1:5" ht="14.25" customHeight="1" x14ac:dyDescent="0.2">
      <c r="A43" s="320" t="s">
        <v>1460</v>
      </c>
      <c r="B43" s="321"/>
      <c r="C43" s="88">
        <v>1</v>
      </c>
      <c r="D43" s="88">
        <v>11.23</v>
      </c>
      <c r="E43" s="58">
        <f t="shared" si="0"/>
        <v>11.23</v>
      </c>
    </row>
    <row r="44" spans="1:5" ht="14.25" customHeight="1" x14ac:dyDescent="0.2">
      <c r="A44" s="320" t="s">
        <v>877</v>
      </c>
      <c r="B44" s="321"/>
      <c r="C44" s="88">
        <v>1</v>
      </c>
      <c r="D44" s="88">
        <v>12.56</v>
      </c>
      <c r="E44" s="58">
        <f t="shared" si="0"/>
        <v>12.56</v>
      </c>
    </row>
    <row r="45" spans="1:5" ht="14.25" customHeight="1" x14ac:dyDescent="0.2">
      <c r="A45" s="155" t="s">
        <v>1461</v>
      </c>
      <c r="B45" s="109"/>
      <c r="C45" s="88"/>
      <c r="D45" s="88"/>
      <c r="E45" s="58"/>
    </row>
    <row r="46" spans="1:5" ht="14.25" customHeight="1" x14ac:dyDescent="0.2">
      <c r="A46" s="320" t="s">
        <v>919</v>
      </c>
      <c r="B46" s="321"/>
      <c r="C46" s="88">
        <f>8*4</f>
        <v>32</v>
      </c>
      <c r="D46" s="88">
        <v>1.61</v>
      </c>
      <c r="E46" s="58">
        <f>C46*D46</f>
        <v>51.52</v>
      </c>
    </row>
    <row r="47" spans="1:5" s="39" customFormat="1" ht="15.75" customHeight="1" x14ac:dyDescent="0.2">
      <c r="A47" s="283" t="s">
        <v>1460</v>
      </c>
      <c r="B47" s="289"/>
      <c r="C47" s="111">
        <v>4</v>
      </c>
      <c r="D47" s="111">
        <v>3.15</v>
      </c>
      <c r="E47" s="112">
        <f>C47*D47</f>
        <v>12.6</v>
      </c>
    </row>
    <row r="48" spans="1:5" s="39" customFormat="1" ht="14.25" customHeight="1" x14ac:dyDescent="0.2">
      <c r="A48" s="283" t="s">
        <v>877</v>
      </c>
      <c r="B48" s="289"/>
      <c r="C48" s="111">
        <v>4</v>
      </c>
      <c r="D48" s="111">
        <v>3.15</v>
      </c>
      <c r="E48" s="112">
        <f>C48*D48</f>
        <v>12.6</v>
      </c>
    </row>
    <row r="49" spans="1:5" s="39" customFormat="1" ht="14.25" customHeight="1" x14ac:dyDescent="0.2">
      <c r="A49" s="283" t="s">
        <v>1462</v>
      </c>
      <c r="B49" s="289"/>
      <c r="C49" s="111">
        <v>4</v>
      </c>
      <c r="D49" s="111">
        <v>3.68</v>
      </c>
      <c r="E49" s="112">
        <f>C49*D49</f>
        <v>14.72</v>
      </c>
    </row>
    <row r="50" spans="1:5" s="39" customFormat="1" ht="14.25" customHeight="1" x14ac:dyDescent="0.2">
      <c r="A50" s="99"/>
      <c r="B50" s="84"/>
      <c r="C50" s="111"/>
      <c r="D50" s="111"/>
      <c r="E50" s="112"/>
    </row>
    <row r="51" spans="1:5" ht="14.25" customHeight="1" x14ac:dyDescent="0.2">
      <c r="A51" s="228" t="s">
        <v>920</v>
      </c>
      <c r="B51" s="229"/>
      <c r="C51" s="229"/>
      <c r="D51" s="229"/>
      <c r="E51" s="58">
        <f>SUM(E33:E49)</f>
        <v>192.76999999999998</v>
      </c>
    </row>
    <row r="52" spans="1:5" ht="14.25" customHeight="1" x14ac:dyDescent="0.2">
      <c r="A52" s="228" t="s">
        <v>1463</v>
      </c>
      <c r="B52" s="229"/>
      <c r="C52" s="229"/>
      <c r="D52" s="229"/>
      <c r="E52" s="58">
        <v>192.77</v>
      </c>
    </row>
    <row r="53" spans="1:5" ht="14.25" customHeight="1" x14ac:dyDescent="0.2">
      <c r="A53" s="230" t="s">
        <v>1513</v>
      </c>
      <c r="B53" s="231"/>
      <c r="C53" s="231"/>
      <c r="D53" s="231"/>
      <c r="E53" s="65">
        <v>138.11000000000001</v>
      </c>
    </row>
    <row r="54" spans="1:5" ht="14.25" customHeight="1" x14ac:dyDescent="0.2">
      <c r="A54" s="241" t="s">
        <v>1514</v>
      </c>
      <c r="B54" s="242"/>
      <c r="C54" s="242"/>
      <c r="D54" s="242"/>
      <c r="E54" s="59">
        <f>E51-E53</f>
        <v>54.659999999999968</v>
      </c>
    </row>
    <row r="55" spans="1:5" ht="14.25" customHeight="1" x14ac:dyDescent="0.2">
      <c r="A55" s="303"/>
      <c r="B55" s="304"/>
      <c r="C55" s="114"/>
      <c r="D55" s="114"/>
      <c r="E55" s="105"/>
    </row>
    <row r="56" spans="1:5" s="39" customFormat="1" ht="42" customHeight="1" x14ac:dyDescent="0.2">
      <c r="A56" s="41" t="s">
        <v>882</v>
      </c>
      <c r="B56" s="235" t="s">
        <v>246</v>
      </c>
      <c r="C56" s="235"/>
      <c r="D56" s="235"/>
      <c r="E56" s="235"/>
    </row>
    <row r="57" spans="1:5" s="49" customFormat="1" ht="16.5" customHeight="1" x14ac:dyDescent="0.2">
      <c r="A57" s="296" t="s">
        <v>821</v>
      </c>
      <c r="B57" s="297"/>
      <c r="C57" s="74"/>
      <c r="D57" s="80" t="s">
        <v>822</v>
      </c>
      <c r="E57" s="69" t="s">
        <v>880</v>
      </c>
    </row>
    <row r="58" spans="1:5" s="49" customFormat="1" ht="16.5" customHeight="1" x14ac:dyDescent="0.2">
      <c r="A58" s="312" t="s">
        <v>1081</v>
      </c>
      <c r="B58" s="74" t="s">
        <v>1469</v>
      </c>
      <c r="C58" s="70"/>
      <c r="D58" s="83">
        <f>22.8+20.09+20.09</f>
        <v>62.980000000000004</v>
      </c>
      <c r="E58" s="69">
        <f t="shared" ref="E58:E81" si="1">D58</f>
        <v>62.980000000000004</v>
      </c>
    </row>
    <row r="59" spans="1:5" s="49" customFormat="1" ht="16.5" customHeight="1" x14ac:dyDescent="0.2">
      <c r="A59" s="312"/>
      <c r="B59" s="74" t="s">
        <v>1470</v>
      </c>
      <c r="C59" s="70"/>
      <c r="D59" s="83">
        <v>43.51</v>
      </c>
      <c r="E59" s="69">
        <f t="shared" si="1"/>
        <v>43.51</v>
      </c>
    </row>
    <row r="60" spans="1:5" s="49" customFormat="1" ht="16.5" customHeight="1" x14ac:dyDescent="0.2">
      <c r="A60" s="312"/>
      <c r="B60" s="74" t="s">
        <v>1121</v>
      </c>
      <c r="C60" s="70"/>
      <c r="D60" s="83">
        <v>4.8</v>
      </c>
      <c r="E60" s="69">
        <f t="shared" si="1"/>
        <v>4.8</v>
      </c>
    </row>
    <row r="61" spans="1:5" s="49" customFormat="1" ht="16.5" customHeight="1" x14ac:dyDescent="0.2">
      <c r="A61" s="312"/>
      <c r="B61" s="74" t="s">
        <v>876</v>
      </c>
      <c r="C61" s="70"/>
      <c r="D61" s="83">
        <v>3</v>
      </c>
      <c r="E61" s="69">
        <f t="shared" si="1"/>
        <v>3</v>
      </c>
    </row>
    <row r="62" spans="1:5" s="49" customFormat="1" ht="16.5" customHeight="1" x14ac:dyDescent="0.2">
      <c r="A62" s="312"/>
      <c r="B62" s="74" t="s">
        <v>877</v>
      </c>
      <c r="C62" s="70"/>
      <c r="D62" s="83">
        <v>3</v>
      </c>
      <c r="E62" s="69">
        <f t="shared" si="1"/>
        <v>3</v>
      </c>
    </row>
    <row r="63" spans="1:5" s="49" customFormat="1" ht="16.5" customHeight="1" x14ac:dyDescent="0.2">
      <c r="A63" s="312"/>
      <c r="B63" s="74" t="s">
        <v>897</v>
      </c>
      <c r="C63" s="70"/>
      <c r="D63" s="83">
        <v>2.4</v>
      </c>
      <c r="E63" s="69">
        <f t="shared" si="1"/>
        <v>2.4</v>
      </c>
    </row>
    <row r="64" spans="1:5" s="49" customFormat="1" ht="16.5" customHeight="1" x14ac:dyDescent="0.2">
      <c r="A64" s="312"/>
      <c r="B64" s="74" t="s">
        <v>875</v>
      </c>
      <c r="C64" s="70"/>
      <c r="D64" s="83">
        <v>10.78</v>
      </c>
      <c r="E64" s="69">
        <f t="shared" si="1"/>
        <v>10.78</v>
      </c>
    </row>
    <row r="65" spans="1:5" s="49" customFormat="1" ht="16.5" customHeight="1" x14ac:dyDescent="0.2">
      <c r="A65" s="312"/>
      <c r="B65" s="74" t="s">
        <v>1471</v>
      </c>
      <c r="C65" s="70"/>
      <c r="D65" s="83">
        <v>60.96</v>
      </c>
      <c r="E65" s="69">
        <f t="shared" si="1"/>
        <v>60.96</v>
      </c>
    </row>
    <row r="66" spans="1:5" s="49" customFormat="1" ht="16.5" customHeight="1" x14ac:dyDescent="0.2">
      <c r="A66" s="312"/>
      <c r="B66" s="74" t="s">
        <v>1120</v>
      </c>
      <c r="C66" s="70"/>
      <c r="D66" s="70">
        <v>11.94</v>
      </c>
      <c r="E66" s="69">
        <f t="shared" si="1"/>
        <v>11.94</v>
      </c>
    </row>
    <row r="67" spans="1:5" s="49" customFormat="1" ht="16.5" customHeight="1" x14ac:dyDescent="0.2">
      <c r="A67" s="312"/>
      <c r="B67" s="84" t="s">
        <v>1472</v>
      </c>
      <c r="C67" s="70"/>
      <c r="D67" s="83">
        <f>2.7+3.01+3.01+5.78</f>
        <v>14.5</v>
      </c>
      <c r="E67" s="69">
        <f t="shared" si="1"/>
        <v>14.5</v>
      </c>
    </row>
    <row r="68" spans="1:5" s="49" customFormat="1" ht="16.5" customHeight="1" x14ac:dyDescent="0.2">
      <c r="A68" s="312"/>
      <c r="B68" s="84" t="s">
        <v>1473</v>
      </c>
      <c r="C68" s="70"/>
      <c r="D68" s="83">
        <f>9.09*2</f>
        <v>18.18</v>
      </c>
      <c r="E68" s="69">
        <f t="shared" si="1"/>
        <v>18.18</v>
      </c>
    </row>
    <row r="69" spans="1:5" s="49" customFormat="1" ht="16.5" customHeight="1" x14ac:dyDescent="0.2">
      <c r="A69" s="312"/>
      <c r="B69" s="74" t="s">
        <v>904</v>
      </c>
      <c r="C69" s="70"/>
      <c r="D69" s="83">
        <v>13.91</v>
      </c>
      <c r="E69" s="69">
        <f t="shared" si="1"/>
        <v>13.91</v>
      </c>
    </row>
    <row r="70" spans="1:5" s="49" customFormat="1" ht="16.5" customHeight="1" x14ac:dyDescent="0.2">
      <c r="A70" s="312"/>
      <c r="B70" s="74" t="s">
        <v>1122</v>
      </c>
      <c r="C70" s="70"/>
      <c r="D70" s="83">
        <v>10.15</v>
      </c>
      <c r="E70" s="69">
        <f t="shared" si="1"/>
        <v>10.15</v>
      </c>
    </row>
    <row r="71" spans="1:5" s="49" customFormat="1" ht="16.5" customHeight="1" x14ac:dyDescent="0.2">
      <c r="A71" s="312"/>
      <c r="B71" s="74" t="s">
        <v>879</v>
      </c>
      <c r="C71" s="70"/>
      <c r="D71" s="83">
        <v>6.3</v>
      </c>
      <c r="E71" s="69">
        <f t="shared" si="1"/>
        <v>6.3</v>
      </c>
    </row>
    <row r="72" spans="1:5" s="49" customFormat="1" ht="16.5" customHeight="1" x14ac:dyDescent="0.2">
      <c r="A72" s="312"/>
      <c r="B72" s="84" t="s">
        <v>1474</v>
      </c>
      <c r="C72" s="70"/>
      <c r="D72" s="70">
        <v>67.83</v>
      </c>
      <c r="E72" s="69">
        <f t="shared" si="1"/>
        <v>67.83</v>
      </c>
    </row>
    <row r="73" spans="1:5" s="49" customFormat="1" ht="16.5" customHeight="1" x14ac:dyDescent="0.2">
      <c r="A73" s="312" t="s">
        <v>1439</v>
      </c>
      <c r="B73" s="74" t="s">
        <v>889</v>
      </c>
      <c r="C73" s="70"/>
      <c r="D73" s="83">
        <v>41.49</v>
      </c>
      <c r="E73" s="69">
        <f t="shared" si="1"/>
        <v>41.49</v>
      </c>
    </row>
    <row r="74" spans="1:5" s="49" customFormat="1" ht="16.5" customHeight="1" x14ac:dyDescent="0.2">
      <c r="A74" s="312"/>
      <c r="B74" s="74" t="s">
        <v>876</v>
      </c>
      <c r="C74" s="70"/>
      <c r="D74" s="83">
        <v>3</v>
      </c>
      <c r="E74" s="69">
        <f t="shared" si="1"/>
        <v>3</v>
      </c>
    </row>
    <row r="75" spans="1:5" s="49" customFormat="1" ht="16.5" customHeight="1" x14ac:dyDescent="0.2">
      <c r="A75" s="312"/>
      <c r="B75" s="74" t="s">
        <v>877</v>
      </c>
      <c r="C75" s="70"/>
      <c r="D75" s="83">
        <v>3</v>
      </c>
      <c r="E75" s="69">
        <f t="shared" si="1"/>
        <v>3</v>
      </c>
    </row>
    <row r="76" spans="1:5" s="49" customFormat="1" ht="16.5" customHeight="1" x14ac:dyDescent="0.2">
      <c r="A76" s="312"/>
      <c r="B76" s="74" t="s">
        <v>897</v>
      </c>
      <c r="C76" s="70"/>
      <c r="D76" s="83">
        <v>2.4</v>
      </c>
      <c r="E76" s="69">
        <f t="shared" si="1"/>
        <v>2.4</v>
      </c>
    </row>
    <row r="77" spans="1:5" s="49" customFormat="1" ht="16.5" customHeight="1" x14ac:dyDescent="0.2">
      <c r="A77" s="312"/>
      <c r="B77" s="74" t="s">
        <v>875</v>
      </c>
      <c r="C77" s="70"/>
      <c r="D77" s="83">
        <v>5.12</v>
      </c>
      <c r="E77" s="69">
        <f t="shared" si="1"/>
        <v>5.12</v>
      </c>
    </row>
    <row r="78" spans="1:5" s="49" customFormat="1" ht="16.5" customHeight="1" x14ac:dyDescent="0.2">
      <c r="A78" s="312"/>
      <c r="B78" s="74" t="s">
        <v>899</v>
      </c>
      <c r="C78" s="70"/>
      <c r="D78" s="70">
        <v>166.34</v>
      </c>
      <c r="E78" s="69">
        <f t="shared" si="1"/>
        <v>166.34</v>
      </c>
    </row>
    <row r="79" spans="1:5" s="49" customFormat="1" ht="16.5" customHeight="1" x14ac:dyDescent="0.2">
      <c r="A79" s="312"/>
      <c r="B79" s="74" t="s">
        <v>904</v>
      </c>
      <c r="C79" s="70"/>
      <c r="D79" s="70">
        <v>11.94</v>
      </c>
      <c r="E79" s="69">
        <f t="shared" si="1"/>
        <v>11.94</v>
      </c>
    </row>
    <row r="80" spans="1:5" s="49" customFormat="1" ht="16.5" customHeight="1" x14ac:dyDescent="0.2">
      <c r="A80" s="312"/>
      <c r="B80" s="74" t="s">
        <v>1429</v>
      </c>
      <c r="C80" s="70"/>
      <c r="D80" s="70">
        <v>14.81</v>
      </c>
      <c r="E80" s="69">
        <f t="shared" si="1"/>
        <v>14.81</v>
      </c>
    </row>
    <row r="81" spans="1:5" s="49" customFormat="1" ht="16.5" customHeight="1" x14ac:dyDescent="0.2">
      <c r="A81" s="312"/>
      <c r="B81" s="74" t="s">
        <v>1475</v>
      </c>
      <c r="C81" s="70"/>
      <c r="D81" s="70">
        <v>39.19</v>
      </c>
      <c r="E81" s="69">
        <f t="shared" si="1"/>
        <v>39.19</v>
      </c>
    </row>
    <row r="82" spans="1:5" s="49" customFormat="1" ht="16.5" customHeight="1" x14ac:dyDescent="0.2">
      <c r="A82" s="312" t="s">
        <v>1476</v>
      </c>
      <c r="B82" s="74" t="s">
        <v>885</v>
      </c>
      <c r="C82" s="70"/>
      <c r="D82" s="70">
        <v>21.42</v>
      </c>
      <c r="E82" s="69">
        <f>D82</f>
        <v>21.42</v>
      </c>
    </row>
    <row r="83" spans="1:5" s="49" customFormat="1" ht="16.5" customHeight="1" x14ac:dyDescent="0.2">
      <c r="A83" s="312"/>
      <c r="B83" s="74" t="s">
        <v>1118</v>
      </c>
      <c r="C83" s="70"/>
      <c r="D83" s="70">
        <v>11.14</v>
      </c>
      <c r="E83" s="69">
        <f>D83</f>
        <v>11.14</v>
      </c>
    </row>
    <row r="84" spans="1:5" s="49" customFormat="1" ht="16.5" customHeight="1" x14ac:dyDescent="0.2">
      <c r="A84" s="312"/>
      <c r="B84" s="74" t="s">
        <v>1477</v>
      </c>
      <c r="C84" s="70"/>
      <c r="D84" s="70">
        <v>10.31</v>
      </c>
      <c r="E84" s="69">
        <f>D84</f>
        <v>10.31</v>
      </c>
    </row>
    <row r="85" spans="1:5" s="49" customFormat="1" ht="16.5" customHeight="1" x14ac:dyDescent="0.2">
      <c r="A85" s="312"/>
      <c r="B85" s="74" t="s">
        <v>886</v>
      </c>
      <c r="C85" s="70"/>
      <c r="D85" s="70">
        <v>11.22</v>
      </c>
      <c r="E85" s="69">
        <f t="shared" ref="E85:E167" si="2">D85</f>
        <v>11.22</v>
      </c>
    </row>
    <row r="86" spans="1:5" s="49" customFormat="1" ht="16.5" customHeight="1" x14ac:dyDescent="0.2">
      <c r="A86" s="312"/>
      <c r="B86" s="74" t="s">
        <v>887</v>
      </c>
      <c r="C86" s="70"/>
      <c r="D86" s="70">
        <v>11.22</v>
      </c>
      <c r="E86" s="69">
        <f t="shared" si="2"/>
        <v>11.22</v>
      </c>
    </row>
    <row r="87" spans="1:5" s="49" customFormat="1" ht="16.5" customHeight="1" x14ac:dyDescent="0.2">
      <c r="A87" s="312"/>
      <c r="B87" s="74" t="s">
        <v>1478</v>
      </c>
      <c r="C87" s="70"/>
      <c r="D87" s="70">
        <v>19.329999999999998</v>
      </c>
      <c r="E87" s="69">
        <f t="shared" si="2"/>
        <v>19.329999999999998</v>
      </c>
    </row>
    <row r="88" spans="1:5" s="49" customFormat="1" ht="16.5" customHeight="1" x14ac:dyDescent="0.2">
      <c r="A88" s="312"/>
      <c r="B88" s="74" t="s">
        <v>888</v>
      </c>
      <c r="C88" s="70"/>
      <c r="D88" s="83">
        <v>13.2</v>
      </c>
      <c r="E88" s="69">
        <f t="shared" si="2"/>
        <v>13.2</v>
      </c>
    </row>
    <row r="89" spans="1:5" s="49" customFormat="1" ht="16.5" customHeight="1" x14ac:dyDescent="0.2">
      <c r="A89" s="312"/>
      <c r="B89" s="84" t="s">
        <v>1479</v>
      </c>
      <c r="C89" s="70"/>
      <c r="D89" s="70">
        <v>99.26</v>
      </c>
      <c r="E89" s="69">
        <f t="shared" si="2"/>
        <v>99.26</v>
      </c>
    </row>
    <row r="90" spans="1:5" s="49" customFormat="1" ht="16.5" customHeight="1" x14ac:dyDescent="0.2">
      <c r="A90" s="312"/>
      <c r="B90" s="84" t="s">
        <v>879</v>
      </c>
      <c r="C90" s="70"/>
      <c r="D90" s="70">
        <v>5.98</v>
      </c>
      <c r="E90" s="69">
        <f t="shared" si="2"/>
        <v>5.98</v>
      </c>
    </row>
    <row r="91" spans="1:5" s="49" customFormat="1" ht="16.5" customHeight="1" x14ac:dyDescent="0.2">
      <c r="A91" s="312"/>
      <c r="B91" s="84" t="s">
        <v>888</v>
      </c>
      <c r="C91" s="70"/>
      <c r="D91" s="70">
        <v>38.549999999999997</v>
      </c>
      <c r="E91" s="69">
        <f t="shared" si="2"/>
        <v>38.549999999999997</v>
      </c>
    </row>
    <row r="92" spans="1:5" s="49" customFormat="1" ht="16.5" customHeight="1" x14ac:dyDescent="0.2">
      <c r="A92" s="312"/>
      <c r="B92" s="84" t="s">
        <v>1480</v>
      </c>
      <c r="C92" s="70"/>
      <c r="D92" s="70">
        <v>39.25</v>
      </c>
      <c r="E92" s="69">
        <f t="shared" si="2"/>
        <v>39.25</v>
      </c>
    </row>
    <row r="93" spans="1:5" s="49" customFormat="1" ht="16.5" customHeight="1" x14ac:dyDescent="0.2">
      <c r="A93" s="309" t="s">
        <v>1481</v>
      </c>
      <c r="B93" s="74" t="s">
        <v>890</v>
      </c>
      <c r="C93" s="70"/>
      <c r="D93" s="70">
        <v>10.42</v>
      </c>
      <c r="E93" s="69">
        <f t="shared" si="2"/>
        <v>10.42</v>
      </c>
    </row>
    <row r="94" spans="1:5" s="49" customFormat="1" ht="16.5" customHeight="1" x14ac:dyDescent="0.2">
      <c r="A94" s="310"/>
      <c r="B94" s="74" t="s">
        <v>891</v>
      </c>
      <c r="C94" s="70"/>
      <c r="D94" s="70">
        <v>5.72</v>
      </c>
      <c r="E94" s="69">
        <f t="shared" si="2"/>
        <v>5.72</v>
      </c>
    </row>
    <row r="95" spans="1:5" s="49" customFormat="1" ht="16.5" customHeight="1" x14ac:dyDescent="0.2">
      <c r="A95" s="310"/>
      <c r="B95" s="74" t="s">
        <v>892</v>
      </c>
      <c r="C95" s="70"/>
      <c r="D95" s="83">
        <v>46.9</v>
      </c>
      <c r="E95" s="69">
        <f t="shared" si="2"/>
        <v>46.9</v>
      </c>
    </row>
    <row r="96" spans="1:5" s="49" customFormat="1" ht="16.5" customHeight="1" x14ac:dyDescent="0.2">
      <c r="A96" s="310"/>
      <c r="B96" s="74" t="s">
        <v>900</v>
      </c>
      <c r="C96" s="70"/>
      <c r="D96" s="70">
        <v>15.85</v>
      </c>
      <c r="E96" s="69">
        <f t="shared" si="2"/>
        <v>15.85</v>
      </c>
    </row>
    <row r="97" spans="1:5" s="49" customFormat="1" ht="16.5" customHeight="1" x14ac:dyDescent="0.2">
      <c r="A97" s="310"/>
      <c r="B97" s="74" t="s">
        <v>893</v>
      </c>
      <c r="C97" s="70"/>
      <c r="D97" s="70">
        <v>11.96</v>
      </c>
      <c r="E97" s="69">
        <f t="shared" si="2"/>
        <v>11.96</v>
      </c>
    </row>
    <row r="98" spans="1:5" s="49" customFormat="1" ht="16.5" customHeight="1" x14ac:dyDescent="0.2">
      <c r="A98" s="310"/>
      <c r="B98" s="74" t="s">
        <v>894</v>
      </c>
      <c r="C98" s="70"/>
      <c r="D98" s="83">
        <v>13.5</v>
      </c>
      <c r="E98" s="69">
        <f t="shared" si="2"/>
        <v>13.5</v>
      </c>
    </row>
    <row r="99" spans="1:5" s="49" customFormat="1" ht="16.5" customHeight="1" x14ac:dyDescent="0.2">
      <c r="A99" s="310"/>
      <c r="B99" s="84" t="s">
        <v>1482</v>
      </c>
      <c r="C99" s="70"/>
      <c r="D99" s="70">
        <v>23.22</v>
      </c>
      <c r="E99" s="69">
        <f t="shared" si="2"/>
        <v>23.22</v>
      </c>
    </row>
    <row r="100" spans="1:5" s="49" customFormat="1" ht="16.5" customHeight="1" x14ac:dyDescent="0.2">
      <c r="A100" s="310"/>
      <c r="B100" s="84" t="s">
        <v>1483</v>
      </c>
      <c r="C100" s="70"/>
      <c r="D100" s="70">
        <f>18.73+7.76</f>
        <v>26.490000000000002</v>
      </c>
      <c r="E100" s="69">
        <f t="shared" si="2"/>
        <v>26.490000000000002</v>
      </c>
    </row>
    <row r="101" spans="1:5" s="49" customFormat="1" ht="16.5" customHeight="1" x14ac:dyDescent="0.2">
      <c r="A101" s="310"/>
      <c r="B101" s="84" t="s">
        <v>1119</v>
      </c>
      <c r="C101" s="70"/>
      <c r="D101" s="70">
        <f>48.79+(0.1*10.53)</f>
        <v>49.842999999999996</v>
      </c>
      <c r="E101" s="69">
        <f t="shared" si="2"/>
        <v>49.842999999999996</v>
      </c>
    </row>
    <row r="102" spans="1:5" s="49" customFormat="1" ht="16.5" customHeight="1" x14ac:dyDescent="0.2">
      <c r="A102" s="310"/>
      <c r="B102" s="84" t="s">
        <v>1484</v>
      </c>
      <c r="C102" s="70"/>
      <c r="D102" s="70">
        <v>17.16</v>
      </c>
      <c r="E102" s="69">
        <f t="shared" si="2"/>
        <v>17.16</v>
      </c>
    </row>
    <row r="103" spans="1:5" s="49" customFormat="1" ht="16.5" customHeight="1" x14ac:dyDescent="0.2">
      <c r="A103" s="310"/>
      <c r="B103" s="84" t="s">
        <v>1485</v>
      </c>
      <c r="C103" s="70"/>
      <c r="D103" s="70">
        <v>78.150000000000006</v>
      </c>
      <c r="E103" s="69">
        <f t="shared" si="2"/>
        <v>78.150000000000006</v>
      </c>
    </row>
    <row r="104" spans="1:5" s="49" customFormat="1" ht="16.5" customHeight="1" x14ac:dyDescent="0.2">
      <c r="A104" s="310"/>
      <c r="B104" s="84" t="s">
        <v>1119</v>
      </c>
      <c r="C104" s="70"/>
      <c r="D104" s="83">
        <f>188+(6.34*0.7)+(10.9*5*0.1)</f>
        <v>197.88799999999998</v>
      </c>
      <c r="E104" s="69">
        <f t="shared" si="2"/>
        <v>197.88799999999998</v>
      </c>
    </row>
    <row r="105" spans="1:5" s="49" customFormat="1" ht="16.5" customHeight="1" x14ac:dyDescent="0.2">
      <c r="A105" s="310"/>
      <c r="B105" s="84" t="s">
        <v>1486</v>
      </c>
      <c r="C105" s="70"/>
      <c r="D105" s="70">
        <v>67.83</v>
      </c>
      <c r="E105" s="69">
        <f t="shared" si="2"/>
        <v>67.83</v>
      </c>
    </row>
    <row r="106" spans="1:5" s="49" customFormat="1" ht="16.5" customHeight="1" x14ac:dyDescent="0.2">
      <c r="A106" s="311"/>
      <c r="B106" s="84" t="s">
        <v>1487</v>
      </c>
      <c r="C106" s="70"/>
      <c r="D106" s="70">
        <f>7.86+(1.13*9)+(0.74*15)</f>
        <v>29.129999999999995</v>
      </c>
      <c r="E106" s="69">
        <f t="shared" si="2"/>
        <v>29.129999999999995</v>
      </c>
    </row>
    <row r="107" spans="1:5" s="49" customFormat="1" ht="16.5" customHeight="1" x14ac:dyDescent="0.2">
      <c r="A107" s="309" t="s">
        <v>1488</v>
      </c>
      <c r="B107" s="74" t="s">
        <v>1489</v>
      </c>
      <c r="C107" s="70"/>
      <c r="D107" s="70">
        <v>54.84</v>
      </c>
      <c r="E107" s="69">
        <f t="shared" si="2"/>
        <v>54.84</v>
      </c>
    </row>
    <row r="108" spans="1:5" s="49" customFormat="1" ht="16.5" customHeight="1" x14ac:dyDescent="0.2">
      <c r="A108" s="310"/>
      <c r="B108" s="74" t="s">
        <v>1490</v>
      </c>
      <c r="C108" s="70"/>
      <c r="D108" s="83">
        <v>19.5</v>
      </c>
      <c r="E108" s="69">
        <f t="shared" si="2"/>
        <v>19.5</v>
      </c>
    </row>
    <row r="109" spans="1:5" s="49" customFormat="1" ht="16.5" customHeight="1" x14ac:dyDescent="0.2">
      <c r="A109" s="310"/>
      <c r="B109" s="74" t="s">
        <v>901</v>
      </c>
      <c r="C109" s="70"/>
      <c r="D109" s="70">
        <v>16.95</v>
      </c>
      <c r="E109" s="69">
        <f t="shared" si="2"/>
        <v>16.95</v>
      </c>
    </row>
    <row r="110" spans="1:5" s="49" customFormat="1" ht="16.5" customHeight="1" x14ac:dyDescent="0.2">
      <c r="A110" s="310"/>
      <c r="B110" s="74" t="s">
        <v>902</v>
      </c>
      <c r="C110" s="70"/>
      <c r="D110" s="70">
        <v>7.58</v>
      </c>
      <c r="E110" s="69">
        <f t="shared" si="2"/>
        <v>7.58</v>
      </c>
    </row>
    <row r="111" spans="1:5" s="49" customFormat="1" ht="16.5" customHeight="1" x14ac:dyDescent="0.2">
      <c r="A111" s="310"/>
      <c r="B111" s="74" t="s">
        <v>1138</v>
      </c>
      <c r="C111" s="70"/>
      <c r="D111" s="70">
        <v>8.48</v>
      </c>
      <c r="E111" s="69">
        <f t="shared" si="2"/>
        <v>8.48</v>
      </c>
    </row>
    <row r="112" spans="1:5" s="49" customFormat="1" ht="16.5" customHeight="1" x14ac:dyDescent="0.2">
      <c r="A112" s="310"/>
      <c r="B112" s="84" t="s">
        <v>1491</v>
      </c>
      <c r="C112" s="70"/>
      <c r="D112" s="83">
        <v>124.14</v>
      </c>
      <c r="E112" s="69">
        <f t="shared" si="2"/>
        <v>124.14</v>
      </c>
    </row>
    <row r="113" spans="1:5" s="49" customFormat="1" ht="16.5" customHeight="1" x14ac:dyDescent="0.2">
      <c r="A113" s="310"/>
      <c r="B113" s="84" t="s">
        <v>1492</v>
      </c>
      <c r="C113" s="70"/>
      <c r="D113" s="83">
        <v>12.31</v>
      </c>
      <c r="E113" s="69">
        <f t="shared" si="2"/>
        <v>12.31</v>
      </c>
    </row>
    <row r="114" spans="1:5" s="49" customFormat="1" ht="16.5" customHeight="1" x14ac:dyDescent="0.2">
      <c r="A114" s="310"/>
      <c r="B114" s="84" t="s">
        <v>879</v>
      </c>
      <c r="C114" s="70"/>
      <c r="D114" s="83">
        <v>6.26</v>
      </c>
      <c r="E114" s="69">
        <f t="shared" si="2"/>
        <v>6.26</v>
      </c>
    </row>
    <row r="115" spans="1:5" s="49" customFormat="1" ht="16.5" customHeight="1" x14ac:dyDescent="0.2">
      <c r="A115" s="310"/>
      <c r="B115" s="84" t="s">
        <v>1493</v>
      </c>
      <c r="C115" s="70"/>
      <c r="D115" s="83">
        <v>23.48</v>
      </c>
      <c r="E115" s="69">
        <f t="shared" si="2"/>
        <v>23.48</v>
      </c>
    </row>
    <row r="116" spans="1:5" s="49" customFormat="1" ht="16.5" customHeight="1" x14ac:dyDescent="0.2">
      <c r="A116" s="310"/>
      <c r="B116" s="84" t="s">
        <v>1139</v>
      </c>
      <c r="C116" s="70"/>
      <c r="D116" s="83">
        <v>34.869999999999997</v>
      </c>
      <c r="E116" s="69">
        <f t="shared" si="2"/>
        <v>34.869999999999997</v>
      </c>
    </row>
    <row r="117" spans="1:5" s="49" customFormat="1" ht="16.5" customHeight="1" x14ac:dyDescent="0.2">
      <c r="A117" s="311"/>
      <c r="B117" s="84" t="s">
        <v>1119</v>
      </c>
      <c r="C117" s="70"/>
      <c r="D117" s="83">
        <v>125.4</v>
      </c>
      <c r="E117" s="69">
        <f t="shared" si="2"/>
        <v>125.4</v>
      </c>
    </row>
    <row r="118" spans="1:5" s="49" customFormat="1" ht="16.5" customHeight="1" x14ac:dyDescent="0.2">
      <c r="A118" s="309" t="s">
        <v>905</v>
      </c>
      <c r="B118" s="74" t="s">
        <v>1494</v>
      </c>
      <c r="C118" s="70"/>
      <c r="D118" s="70">
        <v>28.43</v>
      </c>
      <c r="E118" s="69">
        <f t="shared" si="2"/>
        <v>28.43</v>
      </c>
    </row>
    <row r="119" spans="1:5" s="49" customFormat="1" ht="16.5" customHeight="1" x14ac:dyDescent="0.2">
      <c r="A119" s="310"/>
      <c r="B119" s="74" t="s">
        <v>1495</v>
      </c>
      <c r="C119" s="70"/>
      <c r="D119" s="70">
        <v>41.4</v>
      </c>
      <c r="E119" s="69">
        <f t="shared" si="2"/>
        <v>41.4</v>
      </c>
    </row>
    <row r="120" spans="1:5" s="49" customFormat="1" ht="16.5" customHeight="1" x14ac:dyDescent="0.2">
      <c r="A120" s="310"/>
      <c r="B120" s="74" t="s">
        <v>1496</v>
      </c>
      <c r="C120" s="70"/>
      <c r="D120" s="83">
        <v>8.64</v>
      </c>
      <c r="E120" s="69">
        <f t="shared" si="2"/>
        <v>8.64</v>
      </c>
    </row>
    <row r="121" spans="1:5" s="49" customFormat="1" ht="16.5" customHeight="1" x14ac:dyDescent="0.2">
      <c r="A121" s="310"/>
      <c r="B121" s="74" t="s">
        <v>1033</v>
      </c>
      <c r="C121" s="70"/>
      <c r="D121" s="83">
        <f>3.15*2</f>
        <v>6.3</v>
      </c>
      <c r="E121" s="69">
        <f t="shared" si="2"/>
        <v>6.3</v>
      </c>
    </row>
    <row r="122" spans="1:5" s="49" customFormat="1" ht="16.5" customHeight="1" x14ac:dyDescent="0.2">
      <c r="A122" s="310"/>
      <c r="B122" s="74" t="s">
        <v>903</v>
      </c>
      <c r="C122" s="70"/>
      <c r="D122" s="83">
        <v>3.68</v>
      </c>
      <c r="E122" s="69">
        <f t="shared" si="2"/>
        <v>3.68</v>
      </c>
    </row>
    <row r="123" spans="1:5" s="49" customFormat="1" ht="16.5" customHeight="1" x14ac:dyDescent="0.2">
      <c r="A123" s="310"/>
      <c r="B123" s="74" t="s">
        <v>1497</v>
      </c>
      <c r="C123" s="70"/>
      <c r="D123" s="70">
        <v>3.68</v>
      </c>
      <c r="E123" s="69">
        <f t="shared" si="2"/>
        <v>3.68</v>
      </c>
    </row>
    <row r="124" spans="1:5" s="49" customFormat="1" ht="16.5" customHeight="1" x14ac:dyDescent="0.2">
      <c r="A124" s="310"/>
      <c r="B124" s="84" t="s">
        <v>911</v>
      </c>
      <c r="C124" s="70"/>
      <c r="D124" s="83">
        <v>16.72</v>
      </c>
      <c r="E124" s="69">
        <f t="shared" si="2"/>
        <v>16.72</v>
      </c>
    </row>
    <row r="125" spans="1:5" s="49" customFormat="1" ht="16.5" customHeight="1" x14ac:dyDescent="0.2">
      <c r="A125" s="310"/>
      <c r="B125" s="84" t="s">
        <v>879</v>
      </c>
      <c r="C125" s="70"/>
      <c r="D125" s="83">
        <v>6.26</v>
      </c>
      <c r="E125" s="69">
        <f t="shared" si="2"/>
        <v>6.26</v>
      </c>
    </row>
    <row r="126" spans="1:5" s="49" customFormat="1" ht="16.5" customHeight="1" x14ac:dyDescent="0.2">
      <c r="A126" s="310"/>
      <c r="B126" s="84" t="s">
        <v>1498</v>
      </c>
      <c r="C126" s="70"/>
      <c r="D126" s="83">
        <v>12.02</v>
      </c>
      <c r="E126" s="69">
        <f t="shared" si="2"/>
        <v>12.02</v>
      </c>
    </row>
    <row r="127" spans="1:5" s="49" customFormat="1" ht="16.5" customHeight="1" x14ac:dyDescent="0.2">
      <c r="A127" s="310"/>
      <c r="B127" s="84" t="s">
        <v>1499</v>
      </c>
      <c r="C127" s="70"/>
      <c r="D127" s="83">
        <f>87.2</f>
        <v>87.2</v>
      </c>
      <c r="E127" s="69">
        <f t="shared" si="2"/>
        <v>87.2</v>
      </c>
    </row>
    <row r="128" spans="1:5" s="49" customFormat="1" ht="16.5" customHeight="1" x14ac:dyDescent="0.2">
      <c r="A128" s="310"/>
      <c r="B128" s="84" t="s">
        <v>1500</v>
      </c>
      <c r="C128" s="70"/>
      <c r="D128" s="83">
        <v>145.03</v>
      </c>
      <c r="E128" s="69">
        <f t="shared" si="2"/>
        <v>145.03</v>
      </c>
    </row>
    <row r="129" spans="1:5" s="49" customFormat="1" ht="16.5" customHeight="1" x14ac:dyDescent="0.2">
      <c r="A129" s="310"/>
      <c r="B129" s="84" t="s">
        <v>1501</v>
      </c>
      <c r="C129" s="70"/>
      <c r="D129" s="83">
        <v>145.16</v>
      </c>
      <c r="E129" s="69">
        <f t="shared" si="2"/>
        <v>145.16</v>
      </c>
    </row>
    <row r="130" spans="1:5" s="49" customFormat="1" ht="16.5" customHeight="1" x14ac:dyDescent="0.2">
      <c r="A130" s="309" t="s">
        <v>909</v>
      </c>
      <c r="B130" s="74" t="s">
        <v>1494</v>
      </c>
      <c r="C130" s="70"/>
      <c r="D130" s="70">
        <v>28.43</v>
      </c>
      <c r="E130" s="69">
        <f t="shared" si="2"/>
        <v>28.43</v>
      </c>
    </row>
    <row r="131" spans="1:5" s="49" customFormat="1" ht="16.5" customHeight="1" x14ac:dyDescent="0.2">
      <c r="A131" s="310"/>
      <c r="B131" s="74" t="s">
        <v>1495</v>
      </c>
      <c r="C131" s="70"/>
      <c r="D131" s="83">
        <v>41.4</v>
      </c>
      <c r="E131" s="69">
        <f t="shared" si="2"/>
        <v>41.4</v>
      </c>
    </row>
    <row r="132" spans="1:5" s="49" customFormat="1" ht="16.5" customHeight="1" x14ac:dyDescent="0.2">
      <c r="A132" s="310"/>
      <c r="B132" s="74" t="s">
        <v>1496</v>
      </c>
      <c r="C132" s="70"/>
      <c r="D132" s="83">
        <v>8.64</v>
      </c>
      <c r="E132" s="69">
        <f t="shared" si="2"/>
        <v>8.64</v>
      </c>
    </row>
    <row r="133" spans="1:5" s="49" customFormat="1" ht="16.5" customHeight="1" x14ac:dyDescent="0.2">
      <c r="A133" s="310"/>
      <c r="B133" s="74" t="s">
        <v>1033</v>
      </c>
      <c r="C133" s="70"/>
      <c r="D133" s="83">
        <f>3.15*2</f>
        <v>6.3</v>
      </c>
      <c r="E133" s="69">
        <f t="shared" si="2"/>
        <v>6.3</v>
      </c>
    </row>
    <row r="134" spans="1:5" s="49" customFormat="1" ht="16.5" customHeight="1" x14ac:dyDescent="0.2">
      <c r="A134" s="310"/>
      <c r="B134" s="74" t="s">
        <v>903</v>
      </c>
      <c r="C134" s="70"/>
      <c r="D134" s="70">
        <v>3.68</v>
      </c>
      <c r="E134" s="69">
        <f t="shared" si="2"/>
        <v>3.68</v>
      </c>
    </row>
    <row r="135" spans="1:5" s="49" customFormat="1" ht="16.5" customHeight="1" x14ac:dyDescent="0.2">
      <c r="A135" s="310"/>
      <c r="B135" s="74" t="s">
        <v>1497</v>
      </c>
      <c r="C135" s="70"/>
      <c r="D135" s="70">
        <v>3.68</v>
      </c>
      <c r="E135" s="69">
        <f t="shared" si="2"/>
        <v>3.68</v>
      </c>
    </row>
    <row r="136" spans="1:5" s="49" customFormat="1" ht="16.5" customHeight="1" x14ac:dyDescent="0.2">
      <c r="A136" s="310"/>
      <c r="B136" s="84" t="s">
        <v>911</v>
      </c>
      <c r="C136" s="70"/>
      <c r="D136" s="83">
        <v>16.72</v>
      </c>
      <c r="E136" s="69">
        <f t="shared" si="2"/>
        <v>16.72</v>
      </c>
    </row>
    <row r="137" spans="1:5" s="49" customFormat="1" ht="16.5" customHeight="1" x14ac:dyDescent="0.2">
      <c r="A137" s="310"/>
      <c r="B137" s="84" t="s">
        <v>879</v>
      </c>
      <c r="C137" s="70"/>
      <c r="D137" s="83">
        <v>6.26</v>
      </c>
      <c r="E137" s="69">
        <f t="shared" si="2"/>
        <v>6.26</v>
      </c>
    </row>
    <row r="138" spans="1:5" s="49" customFormat="1" ht="16.5" customHeight="1" x14ac:dyDescent="0.2">
      <c r="A138" s="310"/>
      <c r="B138" s="84" t="s">
        <v>1498</v>
      </c>
      <c r="C138" s="70"/>
      <c r="D138" s="83">
        <v>12.02</v>
      </c>
      <c r="E138" s="69">
        <f t="shared" si="2"/>
        <v>12.02</v>
      </c>
    </row>
    <row r="139" spans="1:5" s="49" customFormat="1" ht="16.5" customHeight="1" x14ac:dyDescent="0.2">
      <c r="A139" s="310"/>
      <c r="B139" s="84" t="s">
        <v>1499</v>
      </c>
      <c r="C139" s="70"/>
      <c r="D139" s="83">
        <f>87.2</f>
        <v>87.2</v>
      </c>
      <c r="E139" s="69">
        <f t="shared" si="2"/>
        <v>87.2</v>
      </c>
    </row>
    <row r="140" spans="1:5" s="49" customFormat="1" ht="16.5" customHeight="1" x14ac:dyDescent="0.2">
      <c r="A140" s="310"/>
      <c r="B140" s="84" t="s">
        <v>1500</v>
      </c>
      <c r="C140" s="70"/>
      <c r="D140" s="83">
        <v>145.03</v>
      </c>
      <c r="E140" s="69">
        <f t="shared" si="2"/>
        <v>145.03</v>
      </c>
    </row>
    <row r="141" spans="1:5" s="49" customFormat="1" ht="16.5" customHeight="1" x14ac:dyDescent="0.2">
      <c r="A141" s="310"/>
      <c r="B141" s="84" t="s">
        <v>1501</v>
      </c>
      <c r="C141" s="70"/>
      <c r="D141" s="83">
        <v>145.16</v>
      </c>
      <c r="E141" s="69">
        <f t="shared" si="2"/>
        <v>145.16</v>
      </c>
    </row>
    <row r="142" spans="1:5" s="49" customFormat="1" ht="16.5" customHeight="1" x14ac:dyDescent="0.2">
      <c r="A142" s="309" t="s">
        <v>910</v>
      </c>
      <c r="B142" s="74" t="s">
        <v>1494</v>
      </c>
      <c r="C142" s="70"/>
      <c r="D142" s="70">
        <v>46.47</v>
      </c>
      <c r="E142" s="69">
        <f t="shared" si="2"/>
        <v>46.47</v>
      </c>
    </row>
    <row r="143" spans="1:5" s="49" customFormat="1" ht="16.5" customHeight="1" x14ac:dyDescent="0.2">
      <c r="A143" s="310"/>
      <c r="B143" s="74" t="s">
        <v>1502</v>
      </c>
      <c r="C143" s="70"/>
      <c r="D143" s="70">
        <v>17.16</v>
      </c>
      <c r="E143" s="69">
        <f t="shared" si="2"/>
        <v>17.16</v>
      </c>
    </row>
    <row r="144" spans="1:5" s="49" customFormat="1" ht="16.5" customHeight="1" x14ac:dyDescent="0.2">
      <c r="A144" s="310"/>
      <c r="B144" s="74" t="s">
        <v>1496</v>
      </c>
      <c r="C144" s="70"/>
      <c r="D144" s="83">
        <f>9.55+5.25</f>
        <v>14.8</v>
      </c>
      <c r="E144" s="69">
        <f t="shared" si="2"/>
        <v>14.8</v>
      </c>
    </row>
    <row r="145" spans="1:5" s="49" customFormat="1" ht="16.5" customHeight="1" x14ac:dyDescent="0.2">
      <c r="A145" s="310"/>
      <c r="B145" s="74" t="s">
        <v>1033</v>
      </c>
      <c r="C145" s="70"/>
      <c r="D145" s="83">
        <f>3.15*2</f>
        <v>6.3</v>
      </c>
      <c r="E145" s="69">
        <f t="shared" si="2"/>
        <v>6.3</v>
      </c>
    </row>
    <row r="146" spans="1:5" s="49" customFormat="1" ht="16.5" customHeight="1" x14ac:dyDescent="0.2">
      <c r="A146" s="310"/>
      <c r="B146" s="74" t="s">
        <v>903</v>
      </c>
      <c r="C146" s="70"/>
      <c r="D146" s="70">
        <v>3.68</v>
      </c>
      <c r="E146" s="69">
        <f t="shared" si="2"/>
        <v>3.68</v>
      </c>
    </row>
    <row r="147" spans="1:5" s="49" customFormat="1" ht="16.5" customHeight="1" x14ac:dyDescent="0.2">
      <c r="A147" s="310"/>
      <c r="B147" s="74" t="s">
        <v>888</v>
      </c>
      <c r="C147" s="70"/>
      <c r="D147" s="70">
        <v>36.729999999999997</v>
      </c>
      <c r="E147" s="69">
        <f t="shared" si="2"/>
        <v>36.729999999999997</v>
      </c>
    </row>
    <row r="148" spans="1:5" s="49" customFormat="1" ht="16.5" customHeight="1" x14ac:dyDescent="0.2">
      <c r="A148" s="310"/>
      <c r="B148" s="84" t="s">
        <v>911</v>
      </c>
      <c r="C148" s="70"/>
      <c r="D148" s="83">
        <v>16.72</v>
      </c>
      <c r="E148" s="69">
        <f t="shared" si="2"/>
        <v>16.72</v>
      </c>
    </row>
    <row r="149" spans="1:5" s="49" customFormat="1" ht="16.5" customHeight="1" x14ac:dyDescent="0.2">
      <c r="A149" s="310"/>
      <c r="B149" s="84" t="s">
        <v>879</v>
      </c>
      <c r="C149" s="70"/>
      <c r="D149" s="83">
        <v>6.26</v>
      </c>
      <c r="E149" s="69">
        <f t="shared" si="2"/>
        <v>6.26</v>
      </c>
    </row>
    <row r="150" spans="1:5" s="49" customFormat="1" ht="16.5" customHeight="1" x14ac:dyDescent="0.2">
      <c r="A150" s="310"/>
      <c r="B150" s="84" t="s">
        <v>1498</v>
      </c>
      <c r="C150" s="70"/>
      <c r="D150" s="83">
        <v>12.02</v>
      </c>
      <c r="E150" s="69">
        <f t="shared" si="2"/>
        <v>12.02</v>
      </c>
    </row>
    <row r="151" spans="1:5" s="49" customFormat="1" ht="16.5" customHeight="1" x14ac:dyDescent="0.2">
      <c r="A151" s="310"/>
      <c r="B151" s="84" t="s">
        <v>1499</v>
      </c>
      <c r="C151" s="70"/>
      <c r="D151" s="83">
        <f>87.2</f>
        <v>87.2</v>
      </c>
      <c r="E151" s="69">
        <f t="shared" si="2"/>
        <v>87.2</v>
      </c>
    </row>
    <row r="152" spans="1:5" s="49" customFormat="1" ht="16.5" customHeight="1" x14ac:dyDescent="0.2">
      <c r="A152" s="310"/>
      <c r="B152" s="84" t="s">
        <v>1500</v>
      </c>
      <c r="C152" s="70"/>
      <c r="D152" s="83">
        <v>145.03</v>
      </c>
      <c r="E152" s="69">
        <f t="shared" si="2"/>
        <v>145.03</v>
      </c>
    </row>
    <row r="153" spans="1:5" s="49" customFormat="1" ht="16.5" customHeight="1" x14ac:dyDescent="0.2">
      <c r="A153" s="310"/>
      <c r="B153" s="84" t="s">
        <v>1501</v>
      </c>
      <c r="C153" s="70"/>
      <c r="D153" s="83">
        <v>145.16</v>
      </c>
      <c r="E153" s="69">
        <f t="shared" si="2"/>
        <v>145.16</v>
      </c>
    </row>
    <row r="154" spans="1:5" s="49" customFormat="1" ht="16.5" customHeight="1" x14ac:dyDescent="0.2">
      <c r="A154" s="309" t="s">
        <v>956</v>
      </c>
      <c r="B154" s="74" t="s">
        <v>1494</v>
      </c>
      <c r="C154" s="70"/>
      <c r="D154" s="70">
        <v>46.47</v>
      </c>
      <c r="E154" s="69">
        <f t="shared" si="2"/>
        <v>46.47</v>
      </c>
    </row>
    <row r="155" spans="1:5" s="49" customFormat="1" ht="16.5" customHeight="1" x14ac:dyDescent="0.2">
      <c r="A155" s="310"/>
      <c r="B155" s="74" t="s">
        <v>1502</v>
      </c>
      <c r="C155" s="70"/>
      <c r="D155" s="70">
        <v>17.16</v>
      </c>
      <c r="E155" s="69">
        <f t="shared" si="2"/>
        <v>17.16</v>
      </c>
    </row>
    <row r="156" spans="1:5" s="49" customFormat="1" ht="16.5" customHeight="1" x14ac:dyDescent="0.2">
      <c r="A156" s="310"/>
      <c r="B156" s="74" t="s">
        <v>1496</v>
      </c>
      <c r="C156" s="70"/>
      <c r="D156" s="83">
        <f>9.55+5.25</f>
        <v>14.8</v>
      </c>
      <c r="E156" s="69">
        <f t="shared" si="2"/>
        <v>14.8</v>
      </c>
    </row>
    <row r="157" spans="1:5" s="49" customFormat="1" ht="16.5" customHeight="1" x14ac:dyDescent="0.2">
      <c r="A157" s="310"/>
      <c r="B157" s="74" t="s">
        <v>1033</v>
      </c>
      <c r="C157" s="70"/>
      <c r="D157" s="83">
        <f>3.15*2</f>
        <v>6.3</v>
      </c>
      <c r="E157" s="69">
        <f t="shared" si="2"/>
        <v>6.3</v>
      </c>
    </row>
    <row r="158" spans="1:5" s="49" customFormat="1" ht="16.5" customHeight="1" x14ac:dyDescent="0.2">
      <c r="A158" s="310"/>
      <c r="B158" s="74" t="s">
        <v>903</v>
      </c>
      <c r="C158" s="70"/>
      <c r="D158" s="70">
        <v>3.68</v>
      </c>
      <c r="E158" s="69">
        <f t="shared" si="2"/>
        <v>3.68</v>
      </c>
    </row>
    <row r="159" spans="1:5" s="49" customFormat="1" ht="16.5" customHeight="1" x14ac:dyDescent="0.2">
      <c r="A159" s="310"/>
      <c r="B159" s="74" t="s">
        <v>888</v>
      </c>
      <c r="C159" s="70"/>
      <c r="D159" s="70">
        <v>36.729999999999997</v>
      </c>
      <c r="E159" s="69">
        <f t="shared" si="2"/>
        <v>36.729999999999997</v>
      </c>
    </row>
    <row r="160" spans="1:5" s="49" customFormat="1" ht="16.5" customHeight="1" x14ac:dyDescent="0.2">
      <c r="A160" s="310"/>
      <c r="B160" s="84" t="s">
        <v>911</v>
      </c>
      <c r="C160" s="70"/>
      <c r="D160" s="83">
        <v>16.72</v>
      </c>
      <c r="E160" s="69">
        <f t="shared" si="2"/>
        <v>16.72</v>
      </c>
    </row>
    <row r="161" spans="1:5" s="49" customFormat="1" ht="16.5" customHeight="1" x14ac:dyDescent="0.2">
      <c r="A161" s="310"/>
      <c r="B161" s="84" t="s">
        <v>879</v>
      </c>
      <c r="C161" s="70"/>
      <c r="D161" s="83">
        <v>6.26</v>
      </c>
      <c r="E161" s="69">
        <f t="shared" si="2"/>
        <v>6.26</v>
      </c>
    </row>
    <row r="162" spans="1:5" s="49" customFormat="1" ht="16.5" customHeight="1" x14ac:dyDescent="0.2">
      <c r="A162" s="310"/>
      <c r="B162" s="84" t="s">
        <v>1498</v>
      </c>
      <c r="C162" s="70"/>
      <c r="D162" s="83">
        <v>12.02</v>
      </c>
      <c r="E162" s="69">
        <f t="shared" si="2"/>
        <v>12.02</v>
      </c>
    </row>
    <row r="163" spans="1:5" s="49" customFormat="1" ht="16.5" customHeight="1" x14ac:dyDescent="0.2">
      <c r="A163" s="310"/>
      <c r="B163" s="84" t="s">
        <v>1499</v>
      </c>
      <c r="C163" s="70"/>
      <c r="D163" s="83">
        <f>87.2</f>
        <v>87.2</v>
      </c>
      <c r="E163" s="69">
        <f t="shared" si="2"/>
        <v>87.2</v>
      </c>
    </row>
    <row r="164" spans="1:5" s="49" customFormat="1" ht="16.5" customHeight="1" x14ac:dyDescent="0.2">
      <c r="A164" s="310"/>
      <c r="B164" s="84" t="s">
        <v>1500</v>
      </c>
      <c r="C164" s="70"/>
      <c r="D164" s="83">
        <v>145.03</v>
      </c>
      <c r="E164" s="69">
        <f t="shared" si="2"/>
        <v>145.03</v>
      </c>
    </row>
    <row r="165" spans="1:5" s="49" customFormat="1" ht="16.5" customHeight="1" x14ac:dyDescent="0.2">
      <c r="A165" s="311"/>
      <c r="B165" s="84" t="s">
        <v>1501</v>
      </c>
      <c r="C165" s="70"/>
      <c r="D165" s="83">
        <v>145.16</v>
      </c>
      <c r="E165" s="69">
        <f t="shared" si="2"/>
        <v>145.16</v>
      </c>
    </row>
    <row r="166" spans="1:5" s="49" customFormat="1" ht="16.5" customHeight="1" x14ac:dyDescent="0.2">
      <c r="A166" s="104" t="s">
        <v>1503</v>
      </c>
      <c r="B166" s="84"/>
      <c r="C166" s="70"/>
      <c r="D166" s="83">
        <v>354</v>
      </c>
      <c r="E166" s="69">
        <f t="shared" si="2"/>
        <v>354</v>
      </c>
    </row>
    <row r="167" spans="1:5" s="49" customFormat="1" ht="16.5" customHeight="1" x14ac:dyDescent="0.2">
      <c r="A167" s="104" t="s">
        <v>1424</v>
      </c>
      <c r="B167" s="71" t="s">
        <v>917</v>
      </c>
      <c r="C167" s="70"/>
      <c r="D167" s="83">
        <f>77.28+65.76+66.82</f>
        <v>209.86</v>
      </c>
      <c r="E167" s="69">
        <f t="shared" si="2"/>
        <v>209.86</v>
      </c>
    </row>
    <row r="168" spans="1:5" s="49" customFormat="1" ht="16.5" customHeight="1" x14ac:dyDescent="0.2">
      <c r="A168" s="237" t="s">
        <v>883</v>
      </c>
      <c r="B168" s="238"/>
      <c r="C168" s="238"/>
      <c r="D168" s="238"/>
      <c r="E168" s="69">
        <f>SUM(E58:E167)</f>
        <v>4578.2409999999991</v>
      </c>
    </row>
    <row r="169" spans="1:5" s="49" customFormat="1" ht="16.5" customHeight="1" x14ac:dyDescent="0.2">
      <c r="A169" s="237" t="s">
        <v>884</v>
      </c>
      <c r="B169" s="238"/>
      <c r="C169" s="238"/>
      <c r="D169" s="238"/>
      <c r="E169" s="69">
        <v>4858.42</v>
      </c>
    </row>
    <row r="170" spans="1:5" s="39" customFormat="1" ht="14.25" customHeight="1" x14ac:dyDescent="0.2">
      <c r="A170" s="237" t="s">
        <v>1452</v>
      </c>
      <c r="B170" s="238"/>
      <c r="C170" s="238"/>
      <c r="D170" s="238"/>
      <c r="E170" s="46">
        <v>4266.4399999999996</v>
      </c>
    </row>
    <row r="171" spans="1:5" s="39" customFormat="1" ht="16.5" customHeight="1" x14ac:dyDescent="0.2">
      <c r="A171" s="239" t="s">
        <v>1449</v>
      </c>
      <c r="B171" s="240"/>
      <c r="C171" s="240"/>
      <c r="D171" s="240"/>
      <c r="E171" s="68">
        <f>E168-E170</f>
        <v>311.80099999999948</v>
      </c>
    </row>
    <row r="172" spans="1:5" ht="14.25" customHeight="1" x14ac:dyDescent="0.2">
      <c r="A172" s="303"/>
      <c r="B172" s="304"/>
      <c r="C172" s="78"/>
      <c r="D172" s="78"/>
      <c r="E172" s="79"/>
    </row>
    <row r="173" spans="1:5" s="39" customFormat="1" ht="27.75" hidden="1" customHeight="1" x14ac:dyDescent="0.2">
      <c r="A173" s="41" t="s">
        <v>1062</v>
      </c>
      <c r="B173" s="235" t="s">
        <v>252</v>
      </c>
      <c r="C173" s="235"/>
      <c r="D173" s="235"/>
      <c r="E173" s="235"/>
    </row>
    <row r="174" spans="1:5" ht="14.25" hidden="1" customHeight="1" x14ac:dyDescent="0.2">
      <c r="A174" s="267" t="s">
        <v>821</v>
      </c>
      <c r="B174" s="268"/>
      <c r="C174" s="268" t="s">
        <v>822</v>
      </c>
      <c r="D174" s="268"/>
      <c r="E174" s="108" t="s">
        <v>1504</v>
      </c>
    </row>
    <row r="175" spans="1:5" ht="14.25" hidden="1" customHeight="1" x14ac:dyDescent="0.2">
      <c r="A175" s="320" t="s">
        <v>1505</v>
      </c>
      <c r="B175" s="321"/>
      <c r="C175" s="269">
        <v>13.2</v>
      </c>
      <c r="D175" s="269"/>
      <c r="E175" s="58">
        <f t="shared" ref="E175:E180" si="3">C175</f>
        <v>13.2</v>
      </c>
    </row>
    <row r="176" spans="1:5" ht="14.25" hidden="1" customHeight="1" x14ac:dyDescent="0.2">
      <c r="A176" s="320" t="s">
        <v>889</v>
      </c>
      <c r="B176" s="321"/>
      <c r="C176" s="269">
        <v>81.83</v>
      </c>
      <c r="D176" s="269"/>
      <c r="E176" s="58">
        <f t="shared" si="3"/>
        <v>81.83</v>
      </c>
    </row>
    <row r="177" spans="1:5" ht="14.25" hidden="1" customHeight="1" x14ac:dyDescent="0.2">
      <c r="A177" s="110" t="s">
        <v>1506</v>
      </c>
      <c r="B177" s="109"/>
      <c r="C177" s="269">
        <v>16.62</v>
      </c>
      <c r="D177" s="269"/>
      <c r="E177" s="58">
        <f t="shared" si="3"/>
        <v>16.62</v>
      </c>
    </row>
    <row r="178" spans="1:5" ht="14.25" hidden="1" customHeight="1" x14ac:dyDescent="0.2">
      <c r="A178" s="320" t="s">
        <v>1084</v>
      </c>
      <c r="B178" s="321"/>
      <c r="C178" s="269">
        <v>10.42</v>
      </c>
      <c r="D178" s="269"/>
      <c r="E178" s="58">
        <f t="shared" si="3"/>
        <v>10.42</v>
      </c>
    </row>
    <row r="179" spans="1:5" ht="14.25" hidden="1" customHeight="1" x14ac:dyDescent="0.2">
      <c r="A179" s="320" t="s">
        <v>900</v>
      </c>
      <c r="B179" s="321"/>
      <c r="C179" s="269">
        <v>15.85</v>
      </c>
      <c r="D179" s="269"/>
      <c r="E179" s="58">
        <f t="shared" si="3"/>
        <v>15.85</v>
      </c>
    </row>
    <row r="180" spans="1:5" ht="14.25" hidden="1" customHeight="1" x14ac:dyDescent="0.2">
      <c r="A180" s="320" t="s">
        <v>1085</v>
      </c>
      <c r="B180" s="321"/>
      <c r="C180" s="269">
        <v>16.309999999999999</v>
      </c>
      <c r="D180" s="269"/>
      <c r="E180" s="58">
        <f t="shared" si="3"/>
        <v>16.309999999999999</v>
      </c>
    </row>
    <row r="181" spans="1:5" hidden="1" x14ac:dyDescent="0.2">
      <c r="A181" s="322" t="s">
        <v>1507</v>
      </c>
      <c r="B181" s="323"/>
      <c r="C181" s="323"/>
      <c r="D181" s="324"/>
      <c r="E181" s="58">
        <f xml:space="preserve"> SUM(E175:E178)</f>
        <v>122.07000000000001</v>
      </c>
    </row>
    <row r="182" spans="1:5" hidden="1" x14ac:dyDescent="0.2">
      <c r="A182" s="322" t="s">
        <v>1508</v>
      </c>
      <c r="B182" s="323"/>
      <c r="C182" s="323"/>
      <c r="D182" s="324"/>
      <c r="E182" s="58">
        <v>154.22999999999999</v>
      </c>
    </row>
    <row r="183" spans="1:5" hidden="1" x14ac:dyDescent="0.2">
      <c r="A183" s="325" t="s">
        <v>1510</v>
      </c>
      <c r="B183" s="326"/>
      <c r="C183" s="326"/>
      <c r="D183" s="327"/>
      <c r="E183" s="65">
        <v>51.93</v>
      </c>
    </row>
    <row r="184" spans="1:5" hidden="1" x14ac:dyDescent="0.2">
      <c r="A184" s="328" t="s">
        <v>1511</v>
      </c>
      <c r="B184" s="329"/>
      <c r="C184" s="329"/>
      <c r="D184" s="330"/>
      <c r="E184" s="59">
        <f>E181-E183</f>
        <v>70.140000000000015</v>
      </c>
    </row>
    <row r="185" spans="1:5" hidden="1" x14ac:dyDescent="0.2">
      <c r="A185" s="30"/>
      <c r="E185" s="32"/>
    </row>
    <row r="186" spans="1:5" s="39" customFormat="1" ht="27" customHeight="1" x14ac:dyDescent="0.2">
      <c r="A186" s="41" t="s">
        <v>1149</v>
      </c>
      <c r="B186" s="235" t="s">
        <v>254</v>
      </c>
      <c r="C186" s="235"/>
      <c r="D186" s="235"/>
      <c r="E186" s="235"/>
    </row>
    <row r="187" spans="1:5" ht="14.25" customHeight="1" x14ac:dyDescent="0.2">
      <c r="A187" s="267" t="s">
        <v>821</v>
      </c>
      <c r="B187" s="268"/>
      <c r="C187" s="45"/>
      <c r="D187" s="45" t="s">
        <v>822</v>
      </c>
      <c r="E187" s="108" t="s">
        <v>898</v>
      </c>
    </row>
    <row r="188" spans="1:5" ht="15" customHeight="1" x14ac:dyDescent="0.2">
      <c r="A188" s="320" t="s">
        <v>1509</v>
      </c>
      <c r="B188" s="321"/>
      <c r="C188" s="88"/>
      <c r="D188" s="88">
        <v>167.96</v>
      </c>
      <c r="E188" s="58">
        <f>D188</f>
        <v>167.96</v>
      </c>
    </row>
    <row r="189" spans="1:5" ht="15" customHeight="1" x14ac:dyDescent="0.2">
      <c r="A189" s="110"/>
      <c r="B189" s="109"/>
      <c r="C189" s="88"/>
      <c r="D189" s="88"/>
      <c r="E189" s="58"/>
    </row>
    <row r="190" spans="1:5" ht="13.5" customHeight="1" x14ac:dyDescent="0.2">
      <c r="A190" s="322" t="s">
        <v>1150</v>
      </c>
      <c r="B190" s="323"/>
      <c r="C190" s="323"/>
      <c r="D190" s="324"/>
      <c r="E190" s="58">
        <f xml:space="preserve"> SUM(E188:E188)</f>
        <v>167.96</v>
      </c>
    </row>
    <row r="191" spans="1:5" ht="14.25" customHeight="1" x14ac:dyDescent="0.2">
      <c r="A191" s="322" t="s">
        <v>1151</v>
      </c>
      <c r="B191" s="323"/>
      <c r="C191" s="323"/>
      <c r="D191" s="324"/>
      <c r="E191" s="58">
        <v>228.77</v>
      </c>
    </row>
    <row r="192" spans="1:5" ht="14.25" customHeight="1" x14ac:dyDescent="0.2">
      <c r="A192" s="228" t="s">
        <v>1453</v>
      </c>
      <c r="B192" s="229"/>
      <c r="C192" s="229"/>
      <c r="D192" s="229"/>
      <c r="E192" s="173">
        <v>120</v>
      </c>
    </row>
    <row r="193" spans="1:5" ht="14.25" customHeight="1" x14ac:dyDescent="0.2">
      <c r="A193" s="328" t="s">
        <v>1454</v>
      </c>
      <c r="B193" s="329"/>
      <c r="C193" s="329"/>
      <c r="D193" s="330"/>
      <c r="E193" s="59">
        <f>E190-E192</f>
        <v>47.960000000000008</v>
      </c>
    </row>
    <row r="194" spans="1:5" x14ac:dyDescent="0.2">
      <c r="A194" s="30"/>
      <c r="E194" s="32"/>
    </row>
  </sheetData>
  <mergeCells count="81">
    <mergeCell ref="A51:D51"/>
    <mergeCell ref="A52:D52"/>
    <mergeCell ref="A53:D53"/>
    <mergeCell ref="A55:B55"/>
    <mergeCell ref="A54:D54"/>
    <mergeCell ref="A49:B49"/>
    <mergeCell ref="B30:E30"/>
    <mergeCell ref="A31:B31"/>
    <mergeCell ref="A32:B32"/>
    <mergeCell ref="A33:B33"/>
    <mergeCell ref="A35:B35"/>
    <mergeCell ref="A36:B36"/>
    <mergeCell ref="A43:B43"/>
    <mergeCell ref="A44:B44"/>
    <mergeCell ref="A46:B46"/>
    <mergeCell ref="A47:B47"/>
    <mergeCell ref="A48:B48"/>
    <mergeCell ref="A188:B188"/>
    <mergeCell ref="A190:D190"/>
    <mergeCell ref="A191:D191"/>
    <mergeCell ref="A192:D192"/>
    <mergeCell ref="A193:D193"/>
    <mergeCell ref="A187:B187"/>
    <mergeCell ref="C177:D177"/>
    <mergeCell ref="A178:B178"/>
    <mergeCell ref="C178:D178"/>
    <mergeCell ref="A179:B179"/>
    <mergeCell ref="C179:D179"/>
    <mergeCell ref="A180:B180"/>
    <mergeCell ref="C180:D180"/>
    <mergeCell ref="A181:D181"/>
    <mergeCell ref="A182:D182"/>
    <mergeCell ref="A183:D183"/>
    <mergeCell ref="A184:D184"/>
    <mergeCell ref="B186:E186"/>
    <mergeCell ref="A176:B176"/>
    <mergeCell ref="C176:D176"/>
    <mergeCell ref="A172:B172"/>
    <mergeCell ref="A142:A153"/>
    <mergeCell ref="A154:A165"/>
    <mergeCell ref="A168:D168"/>
    <mergeCell ref="A169:D169"/>
    <mergeCell ref="A170:D170"/>
    <mergeCell ref="A171:D171"/>
    <mergeCell ref="B173:E173"/>
    <mergeCell ref="A174:B174"/>
    <mergeCell ref="C174:D174"/>
    <mergeCell ref="A175:B175"/>
    <mergeCell ref="C175:D175"/>
    <mergeCell ref="A130:A141"/>
    <mergeCell ref="A27:D27"/>
    <mergeCell ref="A28:D28"/>
    <mergeCell ref="A29:B29"/>
    <mergeCell ref="B56:E56"/>
    <mergeCell ref="A57:B57"/>
    <mergeCell ref="A58:A72"/>
    <mergeCell ref="A37:B37"/>
    <mergeCell ref="A39:B39"/>
    <mergeCell ref="A41:B41"/>
    <mergeCell ref="A42:B42"/>
    <mergeCell ref="A73:A81"/>
    <mergeCell ref="A82:A92"/>
    <mergeCell ref="A93:A106"/>
    <mergeCell ref="A107:A117"/>
    <mergeCell ref="A118:A129"/>
    <mergeCell ref="A26:D26"/>
    <mergeCell ref="B22:E22"/>
    <mergeCell ref="A19:D19"/>
    <mergeCell ref="A20:D20"/>
    <mergeCell ref="A21:D21"/>
    <mergeCell ref="A23:B23"/>
    <mergeCell ref="C23:D23"/>
    <mergeCell ref="A24:B24"/>
    <mergeCell ref="C24:D24"/>
    <mergeCell ref="A25:D25"/>
    <mergeCell ref="A18:D18"/>
    <mergeCell ref="A10:E10"/>
    <mergeCell ref="B12:E12"/>
    <mergeCell ref="B13:E13"/>
    <mergeCell ref="A16:B16"/>
    <mergeCell ref="A17:D17"/>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14</vt:i4>
      </vt:variant>
    </vt:vector>
  </HeadingPairs>
  <TitlesOfParts>
    <vt:vector size="29" baseType="lpstr">
      <vt:lpstr>Planilha</vt:lpstr>
      <vt:lpstr>RESUMO MEM.</vt:lpstr>
      <vt:lpstr>6.0</vt:lpstr>
      <vt:lpstr>7.0</vt:lpstr>
      <vt:lpstr>8.0</vt:lpstr>
      <vt:lpstr>9.0</vt:lpstr>
      <vt:lpstr>10.0</vt:lpstr>
      <vt:lpstr>11.0</vt:lpstr>
      <vt:lpstr>12.0</vt:lpstr>
      <vt:lpstr>14.0</vt:lpstr>
      <vt:lpstr>15.0</vt:lpstr>
      <vt:lpstr>17.0</vt:lpstr>
      <vt:lpstr>18.0</vt:lpstr>
      <vt:lpstr>23.0</vt:lpstr>
      <vt:lpstr>24.0</vt:lpstr>
      <vt:lpstr>'10.0'!Area_de_impressao</vt:lpstr>
      <vt:lpstr>'11.0'!Area_de_impressao</vt:lpstr>
      <vt:lpstr>'12.0'!Area_de_impressao</vt:lpstr>
      <vt:lpstr>'14.0'!Area_de_impressao</vt:lpstr>
      <vt:lpstr>'17.0'!Area_de_impressao</vt:lpstr>
      <vt:lpstr>'18.0'!Area_de_impressao</vt:lpstr>
      <vt:lpstr>'24.0'!Area_de_impressao</vt:lpstr>
      <vt:lpstr>'6.0'!Area_de_impressao</vt:lpstr>
      <vt:lpstr>'7.0'!Area_de_impressao</vt:lpstr>
      <vt:lpstr>'8.0'!Area_de_impressao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2025-10-02T15:16:21Z</cp:lastPrinted>
  <dcterms:created xsi:type="dcterms:W3CDTF">2024-04-01T18:39:26Z</dcterms:created>
  <dcterms:modified xsi:type="dcterms:W3CDTF">2025-12-12T13:55:32Z</dcterms:modified>
</cp:coreProperties>
</file>